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255" yWindow="195" windowWidth="15180" windowHeight="9345"/>
  </bookViews>
  <sheets>
    <sheet name="Mechlab" sheetId="1" r:id="rId1"/>
    <sheet name="Engine&amp;weapons" sheetId="2" r:id="rId2"/>
    <sheet name="Sheet3" sheetId="3" r:id="rId3"/>
  </sheets>
  <definedNames>
    <definedName name="_xlnm.Print_Area" localSheetId="0">Mechlab!$A$1:$H$45</definedName>
  </definedNames>
  <calcPr calcId="125725"/>
</workbook>
</file>

<file path=xl/calcChain.xml><?xml version="1.0" encoding="utf-8"?>
<calcChain xmlns="http://schemas.openxmlformats.org/spreadsheetml/2006/main">
  <c r="H16" i="1"/>
  <c r="BF54"/>
  <c r="BN59" s="1"/>
  <c r="S9"/>
  <c r="T9" s="1"/>
  <c r="S5"/>
  <c r="T5" s="1"/>
  <c r="U5" s="1"/>
  <c r="H5" s="1"/>
  <c r="I5" s="1"/>
  <c r="AU140"/>
  <c r="AU139"/>
  <c r="BN139" s="1"/>
  <c r="AQ100"/>
  <c r="BJ100" s="1"/>
  <c r="AQ101"/>
  <c r="BB55"/>
  <c r="BB56"/>
  <c r="M16"/>
  <c r="BB49"/>
  <c r="BB47"/>
  <c r="BB45"/>
  <c r="BB43"/>
  <c r="BB41"/>
  <c r="BB39"/>
  <c r="BB37"/>
  <c r="BB35"/>
  <c r="E18"/>
  <c r="BF51"/>
  <c r="BN51" s="1"/>
  <c r="DJ6" i="2"/>
  <c r="DJ7"/>
  <c r="DI6"/>
  <c r="DI7"/>
  <c r="DH6"/>
  <c r="DH7"/>
  <c r="DG6"/>
  <c r="DG7"/>
  <c r="DF6"/>
  <c r="DF7"/>
  <c r="DE6"/>
  <c r="DE7"/>
  <c r="DD6"/>
  <c r="DD7"/>
  <c r="DC6"/>
  <c r="DC7"/>
  <c r="DB6"/>
  <c r="DB7"/>
  <c r="DA6"/>
  <c r="DA7"/>
  <c r="CZ6"/>
  <c r="CZ7"/>
  <c r="CY6"/>
  <c r="CY7"/>
  <c r="CX6"/>
  <c r="CX7"/>
  <c r="CW6"/>
  <c r="CW7"/>
  <c r="CV6"/>
  <c r="CV7"/>
  <c r="CU6"/>
  <c r="CU7" s="1"/>
  <c r="CT6"/>
  <c r="CT7"/>
  <c r="CS6"/>
  <c r="CS7"/>
  <c r="CR6"/>
  <c r="CR7"/>
  <c r="CQ6"/>
  <c r="CQ7"/>
  <c r="CP6"/>
  <c r="CP7"/>
  <c r="CO6"/>
  <c r="CO7" s="1"/>
  <c r="CN6"/>
  <c r="CN7" s="1"/>
  <c r="CM6"/>
  <c r="CM7" s="1"/>
  <c r="CL6"/>
  <c r="CL7" s="1"/>
  <c r="CK6"/>
  <c r="CK7" s="1"/>
  <c r="CJ6"/>
  <c r="CJ7" s="1"/>
  <c r="CI6"/>
  <c r="CI7" s="1"/>
  <c r="CH6"/>
  <c r="CH7" s="1"/>
  <c r="CG6"/>
  <c r="CG7" s="1"/>
  <c r="CF6"/>
  <c r="CF7" s="1"/>
  <c r="CE6"/>
  <c r="CE7" s="1"/>
  <c r="CD6"/>
  <c r="CD7" s="1"/>
  <c r="CC6"/>
  <c r="CC7" s="1"/>
  <c r="CB6"/>
  <c r="CB7" s="1"/>
  <c r="CA6"/>
  <c r="CA7" s="1"/>
  <c r="BZ6"/>
  <c r="BZ7" s="1"/>
  <c r="BY6"/>
  <c r="BY7" s="1"/>
  <c r="BX6"/>
  <c r="BX7" s="1"/>
  <c r="BW6"/>
  <c r="BW7" s="1"/>
  <c r="BV6"/>
  <c r="BV7" s="1"/>
  <c r="BU6"/>
  <c r="BU7" s="1"/>
  <c r="BT6"/>
  <c r="BT7" s="1"/>
  <c r="BS6"/>
  <c r="BS7" s="1"/>
  <c r="BR6"/>
  <c r="BR7" s="1"/>
  <c r="BQ6"/>
  <c r="BQ7" s="1"/>
  <c r="BP6"/>
  <c r="BP7" s="1"/>
  <c r="BO6"/>
  <c r="BO7" s="1"/>
  <c r="BN6"/>
  <c r="BN7" s="1"/>
  <c r="BM6"/>
  <c r="BM7" s="1"/>
  <c r="BL6"/>
  <c r="BL7" s="1"/>
  <c r="BK6"/>
  <c r="BK7" s="1"/>
  <c r="BJ6"/>
  <c r="BJ7" s="1"/>
  <c r="BI6"/>
  <c r="BI7" s="1"/>
  <c r="BH6"/>
  <c r="BH7" s="1"/>
  <c r="BG6"/>
  <c r="BG7" s="1"/>
  <c r="BF6"/>
  <c r="BF7" s="1"/>
  <c r="BE6"/>
  <c r="BE7" s="1"/>
  <c r="BD6"/>
  <c r="BD7" s="1"/>
  <c r="BC6"/>
  <c r="BC7" s="1"/>
  <c r="BB6"/>
  <c r="BB7" s="1"/>
  <c r="BA6"/>
  <c r="BA7" s="1"/>
  <c r="AZ6"/>
  <c r="AZ7" s="1"/>
  <c r="AY6"/>
  <c r="AY7" s="1"/>
  <c r="AX6"/>
  <c r="AX7" s="1"/>
  <c r="AW6"/>
  <c r="AW7" s="1"/>
  <c r="AV6"/>
  <c r="AV7" s="1"/>
  <c r="AU6"/>
  <c r="AU7" s="1"/>
  <c r="AT6"/>
  <c r="AT7" s="1"/>
  <c r="AS6"/>
  <c r="AS7" s="1"/>
  <c r="AR6"/>
  <c r="AR7" s="1"/>
  <c r="AQ6"/>
  <c r="AQ7" s="1"/>
  <c r="AP6"/>
  <c r="AP7" s="1"/>
  <c r="AO6"/>
  <c r="AO7" s="1"/>
  <c r="AN6"/>
  <c r="AN7" s="1"/>
  <c r="AM6"/>
  <c r="AM7" s="1"/>
  <c r="AL6"/>
  <c r="AL7" s="1"/>
  <c r="AK6"/>
  <c r="AK7" s="1"/>
  <c r="AJ6"/>
  <c r="AJ7" s="1"/>
  <c r="AI6"/>
  <c r="AI7" s="1"/>
  <c r="Q1"/>
  <c r="R1" s="1"/>
  <c r="S1" s="1"/>
  <c r="T1" s="1"/>
  <c r="U1" s="1"/>
  <c r="V1" s="1"/>
  <c r="W1" s="1"/>
  <c r="X1" s="1"/>
  <c r="Y1" s="1"/>
  <c r="AG2"/>
  <c r="AC3"/>
  <c r="AD3"/>
  <c r="AE3" s="1"/>
  <c r="AE6" s="1"/>
  <c r="AB4"/>
  <c r="AC4" s="1"/>
  <c r="AD4" s="1"/>
  <c r="AE4" s="1"/>
  <c r="AF4" s="1"/>
  <c r="AG4" s="1"/>
  <c r="AH4" s="1"/>
  <c r="AC5"/>
  <c r="AD5"/>
  <c r="AE5" s="1"/>
  <c r="AF5" s="1"/>
  <c r="AG5" s="1"/>
  <c r="AH5" s="1"/>
  <c r="AA2"/>
  <c r="AB2"/>
  <c r="AC2" s="1"/>
  <c r="AC6" s="1"/>
  <c r="AC7" s="1"/>
  <c r="AB6"/>
  <c r="AB7" s="1"/>
  <c r="W3"/>
  <c r="X3" s="1"/>
  <c r="W5"/>
  <c r="X5"/>
  <c r="Y5" s="1"/>
  <c r="Z5" s="1"/>
  <c r="AA5" s="1"/>
  <c r="W4"/>
  <c r="X4" s="1"/>
  <c r="Y4" s="1"/>
  <c r="Z4" s="1"/>
  <c r="U2"/>
  <c r="V2" s="1"/>
  <c r="V6" s="1"/>
  <c r="V7" s="1"/>
  <c r="R3"/>
  <c r="S3" s="1"/>
  <c r="T3" s="1"/>
  <c r="U3" s="1"/>
  <c r="R4"/>
  <c r="S4"/>
  <c r="T4" s="1"/>
  <c r="U4" s="1"/>
  <c r="T5"/>
  <c r="U5"/>
  <c r="R2"/>
  <c r="R5"/>
  <c r="Q6"/>
  <c r="Q7"/>
  <c r="P6"/>
  <c r="P7"/>
  <c r="A4"/>
  <c r="A5"/>
  <c r="A6" s="1"/>
  <c r="F99"/>
  <c r="F98"/>
  <c r="F96"/>
  <c r="D96"/>
  <c r="F94"/>
  <c r="F92"/>
  <c r="F88"/>
  <c r="F83"/>
  <c r="F80"/>
  <c r="F79"/>
  <c r="F77"/>
  <c r="F73"/>
  <c r="F69"/>
  <c r="F61"/>
  <c r="F60"/>
  <c r="F57"/>
  <c r="F54"/>
  <c r="F52"/>
  <c r="D52"/>
  <c r="F50"/>
  <c r="F48"/>
  <c r="F46"/>
  <c r="F45"/>
  <c r="F43"/>
  <c r="F40"/>
  <c r="F37"/>
  <c r="F36"/>
  <c r="F35"/>
  <c r="F34"/>
  <c r="F33"/>
  <c r="F16"/>
  <c r="F15"/>
  <c r="F14"/>
  <c r="F10"/>
  <c r="F9"/>
  <c r="F8"/>
  <c r="F7"/>
  <c r="L5"/>
  <c r="K5"/>
  <c r="J5"/>
  <c r="I5"/>
  <c r="H5"/>
  <c r="G5"/>
  <c r="L4"/>
  <c r="K4"/>
  <c r="J4"/>
  <c r="I4"/>
  <c r="H4"/>
  <c r="G4"/>
  <c r="L3"/>
  <c r="K3"/>
  <c r="J3"/>
  <c r="I3"/>
  <c r="H3"/>
  <c r="G3"/>
  <c r="AU138" i="1"/>
  <c r="AU137"/>
  <c r="AU136"/>
  <c r="AU135"/>
  <c r="AU133"/>
  <c r="BN133" s="1"/>
  <c r="AU131"/>
  <c r="BN131" s="1"/>
  <c r="AU129"/>
  <c r="BG90"/>
  <c r="BG57"/>
  <c r="BG73"/>
  <c r="BG81"/>
  <c r="BG85"/>
  <c r="BG86"/>
  <c r="AU88"/>
  <c r="BN85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G143"/>
  <c r="BG144"/>
  <c r="BG145"/>
  <c r="BG146"/>
  <c r="BG147"/>
  <c r="BG148"/>
  <c r="BG149"/>
  <c r="BG150"/>
  <c r="BG151"/>
  <c r="BG58"/>
  <c r="BG59"/>
  <c r="BG60"/>
  <c r="BG61"/>
  <c r="BG62"/>
  <c r="BG63"/>
  <c r="BG64"/>
  <c r="BG65"/>
  <c r="BG66"/>
  <c r="BG67"/>
  <c r="BG68"/>
  <c r="BG69"/>
  <c r="BG70"/>
  <c r="BG71"/>
  <c r="BG72"/>
  <c r="BG74"/>
  <c r="BG75"/>
  <c r="BG76"/>
  <c r="BG77"/>
  <c r="BG78"/>
  <c r="BG79"/>
  <c r="BG80"/>
  <c r="BG82"/>
  <c r="BG83"/>
  <c r="BG84"/>
  <c r="BG87"/>
  <c r="M43" s="1"/>
  <c r="BG88"/>
  <c r="BG89"/>
  <c r="BG40"/>
  <c r="BG41"/>
  <c r="BG42"/>
  <c r="BG43"/>
  <c r="BG44"/>
  <c r="F51" s="1"/>
  <c r="J51" s="1"/>
  <c r="BG45"/>
  <c r="BG46"/>
  <c r="BG47"/>
  <c r="BG48"/>
  <c r="BG49"/>
  <c r="BG50"/>
  <c r="BG51"/>
  <c r="BG52"/>
  <c r="BG53"/>
  <c r="BG54"/>
  <c r="BG55"/>
  <c r="BG56"/>
  <c r="BG32"/>
  <c r="BG28"/>
  <c r="BG30"/>
  <c r="BG29"/>
  <c r="AU30"/>
  <c r="BN29" s="1"/>
  <c r="AU44"/>
  <c r="BN44" s="1"/>
  <c r="BN41"/>
  <c r="BG31"/>
  <c r="BN30"/>
  <c r="BK29"/>
  <c r="BK41"/>
  <c r="BK30"/>
  <c r="BG26"/>
  <c r="BG25"/>
  <c r="AU43"/>
  <c r="BN43" s="1"/>
  <c r="BN40"/>
  <c r="BG36"/>
  <c r="BG34"/>
  <c r="BG35"/>
  <c r="BN35"/>
  <c r="BK35"/>
  <c r="BG38"/>
  <c r="BG39"/>
  <c r="BN39"/>
  <c r="BG37"/>
  <c r="BN36"/>
  <c r="BN37"/>
  <c r="BG33"/>
  <c r="BN33"/>
  <c r="BK33"/>
  <c r="BN25"/>
  <c r="AO125"/>
  <c r="AR118"/>
  <c r="AQ118"/>
  <c r="BJ118" s="1"/>
  <c r="AQ117"/>
  <c r="AR114"/>
  <c r="BK114" s="1"/>
  <c r="AQ114"/>
  <c r="BJ114" s="1"/>
  <c r="AQ113"/>
  <c r="AR110"/>
  <c r="AQ110"/>
  <c r="AQ109"/>
  <c r="AU106"/>
  <c r="BN104" s="1"/>
  <c r="AU105"/>
  <c r="AU99"/>
  <c r="BN99" s="1"/>
  <c r="AU98"/>
  <c r="BN98" s="1"/>
  <c r="AU89"/>
  <c r="BN89" s="1"/>
  <c r="AP84"/>
  <c r="BI84" s="1"/>
  <c r="AO84"/>
  <c r="BH84" s="1"/>
  <c r="AQ83"/>
  <c r="BJ83" s="1"/>
  <c r="AR81"/>
  <c r="BK81" s="1"/>
  <c r="AQ81"/>
  <c r="AQ79"/>
  <c r="BJ79" s="1"/>
  <c r="AR77"/>
  <c r="BK77" s="1"/>
  <c r="AQ77"/>
  <c r="BJ77" s="1"/>
  <c r="AQ75"/>
  <c r="AR73"/>
  <c r="AQ73"/>
  <c r="BJ73" s="1"/>
  <c r="AQ71"/>
  <c r="AR69"/>
  <c r="AQ69"/>
  <c r="BJ69" s="1"/>
  <c r="AU67"/>
  <c r="BN67" s="1"/>
  <c r="AU64"/>
  <c r="BN64" s="1"/>
  <c r="AU61"/>
  <c r="AU58"/>
  <c r="BN58" s="1"/>
  <c r="AU55"/>
  <c r="BN55" s="1"/>
  <c r="AU54"/>
  <c r="AU53"/>
  <c r="AP52"/>
  <c r="BI52" s="1"/>
  <c r="AO52"/>
  <c r="BH52" s="1"/>
  <c r="AU47"/>
  <c r="BN47" s="1"/>
  <c r="AU46"/>
  <c r="AU45"/>
  <c r="BN45" s="1"/>
  <c r="BN86"/>
  <c r="BM85"/>
  <c r="BM86"/>
  <c r="BM29"/>
  <c r="BM41"/>
  <c r="BM30"/>
  <c r="BA50"/>
  <c r="BI50" s="1"/>
  <c r="AZ50"/>
  <c r="AF122"/>
  <c r="AF123" s="1"/>
  <c r="AF124" s="1"/>
  <c r="BK40"/>
  <c r="BK85"/>
  <c r="BK86"/>
  <c r="BK39"/>
  <c r="BK36"/>
  <c r="BK37"/>
  <c r="BK25"/>
  <c r="BL25"/>
  <c r="BL36"/>
  <c r="BL40"/>
  <c r="BL39"/>
  <c r="BJ25"/>
  <c r="BJ36"/>
  <c r="BJ40"/>
  <c r="BJ39"/>
  <c r="BL35"/>
  <c r="BJ35"/>
  <c r="BL33"/>
  <c r="BJ33"/>
  <c r="BL37"/>
  <c r="BJ37"/>
  <c r="BI25"/>
  <c r="BI36"/>
  <c r="BI40"/>
  <c r="BI39"/>
  <c r="BH25"/>
  <c r="BH36"/>
  <c r="BH40"/>
  <c r="BH39"/>
  <c r="BI35"/>
  <c r="BH35"/>
  <c r="BI33"/>
  <c r="BH33"/>
  <c r="BI37"/>
  <c r="BH37"/>
  <c r="BK96"/>
  <c r="BN151"/>
  <c r="BN150"/>
  <c r="BN149"/>
  <c r="BN148"/>
  <c r="BN147"/>
  <c r="BN146"/>
  <c r="BN145"/>
  <c r="BN144"/>
  <c r="BN143"/>
  <c r="BN142"/>
  <c r="BN141"/>
  <c r="BN140"/>
  <c r="BN138"/>
  <c r="BN137"/>
  <c r="BN136"/>
  <c r="BN135"/>
  <c r="BN134"/>
  <c r="BN132"/>
  <c r="BN130"/>
  <c r="BN129"/>
  <c r="BN128"/>
  <c r="BN127"/>
  <c r="BN126"/>
  <c r="BN125"/>
  <c r="BN124"/>
  <c r="BN123"/>
  <c r="BN122"/>
  <c r="BN121"/>
  <c r="BN120"/>
  <c r="BN119"/>
  <c r="BN118"/>
  <c r="BN117"/>
  <c r="BN116"/>
  <c r="BN115"/>
  <c r="BN114"/>
  <c r="BN113"/>
  <c r="BN112"/>
  <c r="BN111"/>
  <c r="BN110"/>
  <c r="BN109"/>
  <c r="BN108"/>
  <c r="BN107"/>
  <c r="BN105"/>
  <c r="BN103"/>
  <c r="BN102"/>
  <c r="BN101"/>
  <c r="BN100"/>
  <c r="BN97"/>
  <c r="BN96"/>
  <c r="BN95"/>
  <c r="BN94"/>
  <c r="BN93"/>
  <c r="BN92"/>
  <c r="BN91"/>
  <c r="BN90"/>
  <c r="BN88"/>
  <c r="BN87"/>
  <c r="BN84"/>
  <c r="BN83"/>
  <c r="BN82"/>
  <c r="BN81"/>
  <c r="BN80"/>
  <c r="BN79"/>
  <c r="BN78"/>
  <c r="BN77"/>
  <c r="BN76"/>
  <c r="BN75"/>
  <c r="BN74"/>
  <c r="BN73"/>
  <c r="BN72"/>
  <c r="BN71"/>
  <c r="BN70"/>
  <c r="BN69"/>
  <c r="BN68"/>
  <c r="BN66"/>
  <c r="BN65"/>
  <c r="BN63"/>
  <c r="BN62"/>
  <c r="BN61"/>
  <c r="BN60"/>
  <c r="BN57"/>
  <c r="BN56"/>
  <c r="BN53"/>
  <c r="BN52"/>
  <c r="BN50"/>
  <c r="BN49"/>
  <c r="BN48"/>
  <c r="BN46"/>
  <c r="BN42"/>
  <c r="BN38"/>
  <c r="BN34"/>
  <c r="AU33"/>
  <c r="BN32" s="1"/>
  <c r="AU32"/>
  <c r="BN31" s="1"/>
  <c r="BN28"/>
  <c r="BN27"/>
  <c r="AU27"/>
  <c r="BN26" s="1"/>
  <c r="BL85"/>
  <c r="BL86"/>
  <c r="BL29"/>
  <c r="BL41"/>
  <c r="BL30"/>
  <c r="BJ85"/>
  <c r="BJ86"/>
  <c r="BJ29"/>
  <c r="BJ41"/>
  <c r="BJ30"/>
  <c r="BI85"/>
  <c r="BI86"/>
  <c r="BI29"/>
  <c r="BI41"/>
  <c r="BI30"/>
  <c r="BH96"/>
  <c r="BH85"/>
  <c r="BH86"/>
  <c r="BH29"/>
  <c r="BH41"/>
  <c r="BH30"/>
  <c r="BM151"/>
  <c r="BL151"/>
  <c r="BK151"/>
  <c r="BJ151"/>
  <c r="BI151"/>
  <c r="BH151"/>
  <c r="BM150"/>
  <c r="BL150"/>
  <c r="BK150"/>
  <c r="BJ150"/>
  <c r="BI150"/>
  <c r="BH150"/>
  <c r="BM149"/>
  <c r="BL149"/>
  <c r="BK149"/>
  <c r="BJ149"/>
  <c r="BI149"/>
  <c r="BH149"/>
  <c r="BM148"/>
  <c r="BL148"/>
  <c r="BK148"/>
  <c r="BJ148"/>
  <c r="BI148"/>
  <c r="BH148"/>
  <c r="BM147"/>
  <c r="BL147"/>
  <c r="BK147"/>
  <c r="BJ147"/>
  <c r="BI147"/>
  <c r="BH147"/>
  <c r="BM146"/>
  <c r="BL146"/>
  <c r="BK146"/>
  <c r="BJ146"/>
  <c r="BI146"/>
  <c r="BH146"/>
  <c r="BM145"/>
  <c r="BL145"/>
  <c r="BK145"/>
  <c r="BJ145"/>
  <c r="BI145"/>
  <c r="BH145"/>
  <c r="BM144"/>
  <c r="BL144"/>
  <c r="BK144"/>
  <c r="BJ144"/>
  <c r="BI144"/>
  <c r="BH144"/>
  <c r="BM143"/>
  <c r="BL143"/>
  <c r="BK143"/>
  <c r="BJ143"/>
  <c r="BI143"/>
  <c r="BH143"/>
  <c r="BM142"/>
  <c r="BL142"/>
  <c r="BK142"/>
  <c r="BJ142"/>
  <c r="BI142"/>
  <c r="BH142"/>
  <c r="BM141"/>
  <c r="BL141"/>
  <c r="BK141"/>
  <c r="BJ141"/>
  <c r="BI141"/>
  <c r="BH141"/>
  <c r="BM140"/>
  <c r="BL140"/>
  <c r="BK140"/>
  <c r="BJ140"/>
  <c r="BI140"/>
  <c r="BH140"/>
  <c r="BM139"/>
  <c r="BL139"/>
  <c r="BK139"/>
  <c r="BJ139"/>
  <c r="BI139"/>
  <c r="BH139"/>
  <c r="BM138"/>
  <c r="BL138"/>
  <c r="BK138"/>
  <c r="BJ138"/>
  <c r="BI138"/>
  <c r="BH138"/>
  <c r="BM137"/>
  <c r="BL137"/>
  <c r="BK137"/>
  <c r="BJ137"/>
  <c r="BI137"/>
  <c r="BH137"/>
  <c r="BM136"/>
  <c r="BL136"/>
  <c r="BK136"/>
  <c r="BJ136"/>
  <c r="BI136"/>
  <c r="BH136"/>
  <c r="BM135"/>
  <c r="BL135"/>
  <c r="BK135"/>
  <c r="BJ135"/>
  <c r="BI135"/>
  <c r="BH135"/>
  <c r="BM134"/>
  <c r="BL134"/>
  <c r="BK134"/>
  <c r="BJ134"/>
  <c r="BI134"/>
  <c r="BH134"/>
  <c r="BM133"/>
  <c r="BL133"/>
  <c r="BK133"/>
  <c r="BJ133"/>
  <c r="BI133"/>
  <c r="BH133"/>
  <c r="BM132"/>
  <c r="BL132"/>
  <c r="BK132"/>
  <c r="BJ132"/>
  <c r="BI132"/>
  <c r="BH132"/>
  <c r="BM131"/>
  <c r="BL131"/>
  <c r="BK131"/>
  <c r="BJ131"/>
  <c r="BI131"/>
  <c r="BH131"/>
  <c r="BM130"/>
  <c r="BL130"/>
  <c r="BK130"/>
  <c r="BJ130"/>
  <c r="BI130"/>
  <c r="BH130"/>
  <c r="BM129"/>
  <c r="BL129"/>
  <c r="BK129"/>
  <c r="BJ129"/>
  <c r="BI129"/>
  <c r="BH129"/>
  <c r="BM128"/>
  <c r="BL128"/>
  <c r="BK128"/>
  <c r="BJ128"/>
  <c r="BI128"/>
  <c r="BH128"/>
  <c r="BM127"/>
  <c r="BL127"/>
  <c r="BM126"/>
  <c r="BL126"/>
  <c r="BK126"/>
  <c r="BJ126"/>
  <c r="BI126"/>
  <c r="BH126"/>
  <c r="BM125"/>
  <c r="BL125"/>
  <c r="BM124"/>
  <c r="BL124"/>
  <c r="BM123"/>
  <c r="BL123"/>
  <c r="BK123"/>
  <c r="BJ123"/>
  <c r="BH123"/>
  <c r="BM122"/>
  <c r="BL122"/>
  <c r="BM121"/>
  <c r="BL121"/>
  <c r="BK121"/>
  <c r="BJ121"/>
  <c r="BI121"/>
  <c r="BH121"/>
  <c r="BM120"/>
  <c r="BL120"/>
  <c r="BK120"/>
  <c r="BJ120"/>
  <c r="BH120"/>
  <c r="BM119"/>
  <c r="BL119"/>
  <c r="BK119"/>
  <c r="BJ119"/>
  <c r="BI119"/>
  <c r="BH119"/>
  <c r="BM118"/>
  <c r="BL118"/>
  <c r="BK118"/>
  <c r="BI118"/>
  <c r="BH118"/>
  <c r="BM117"/>
  <c r="BL117"/>
  <c r="BK117"/>
  <c r="BJ117"/>
  <c r="BI117"/>
  <c r="BH117"/>
  <c r="BM116"/>
  <c r="BL116"/>
  <c r="BK116"/>
  <c r="BJ116"/>
  <c r="BI116"/>
  <c r="BH116"/>
  <c r="BM115"/>
  <c r="BL115"/>
  <c r="BK115"/>
  <c r="BJ115"/>
  <c r="BI115"/>
  <c r="BH115"/>
  <c r="BM114"/>
  <c r="BL114"/>
  <c r="BI114"/>
  <c r="BH114"/>
  <c r="BM113"/>
  <c r="BL113"/>
  <c r="BK113"/>
  <c r="BJ113"/>
  <c r="BI113"/>
  <c r="BH113"/>
  <c r="BM112"/>
  <c r="BL112"/>
  <c r="BK112"/>
  <c r="BJ112"/>
  <c r="BI112"/>
  <c r="BH112"/>
  <c r="BM111"/>
  <c r="BL111"/>
  <c r="BK111"/>
  <c r="BJ111"/>
  <c r="BI111"/>
  <c r="BH111"/>
  <c r="BM110"/>
  <c r="BL110"/>
  <c r="BK110"/>
  <c r="BJ110"/>
  <c r="BI110"/>
  <c r="BH110"/>
  <c r="BM109"/>
  <c r="BL109"/>
  <c r="BK109"/>
  <c r="BJ109"/>
  <c r="BI109"/>
  <c r="BH109"/>
  <c r="BM108"/>
  <c r="BL108"/>
  <c r="BK108"/>
  <c r="BJ108"/>
  <c r="BI108"/>
  <c r="BH108"/>
  <c r="BM107"/>
  <c r="BL107"/>
  <c r="BK107"/>
  <c r="BJ107"/>
  <c r="BI107"/>
  <c r="BH107"/>
  <c r="BM106"/>
  <c r="BL106"/>
  <c r="BK106"/>
  <c r="BJ106"/>
  <c r="BI106"/>
  <c r="BH106"/>
  <c r="BM105"/>
  <c r="BL105"/>
  <c r="BK105"/>
  <c r="BJ105"/>
  <c r="BI105"/>
  <c r="BH105"/>
  <c r="BM104"/>
  <c r="BL104"/>
  <c r="BK104"/>
  <c r="BJ104"/>
  <c r="BI104"/>
  <c r="BH104"/>
  <c r="BM103"/>
  <c r="BL103"/>
  <c r="BK103"/>
  <c r="BJ103"/>
  <c r="BI103"/>
  <c r="BH103"/>
  <c r="BM102"/>
  <c r="BL102"/>
  <c r="BK102"/>
  <c r="BJ102"/>
  <c r="BI102"/>
  <c r="BH102"/>
  <c r="BM101"/>
  <c r="BL101"/>
  <c r="BK101"/>
  <c r="BJ101"/>
  <c r="BI101"/>
  <c r="BH101"/>
  <c r="BM100"/>
  <c r="BL100"/>
  <c r="BK100"/>
  <c r="BI100"/>
  <c r="BH100"/>
  <c r="BM99"/>
  <c r="BL99"/>
  <c r="BK99"/>
  <c r="BJ99"/>
  <c r="BI99"/>
  <c r="BH99"/>
  <c r="BM98"/>
  <c r="BL98"/>
  <c r="BK98"/>
  <c r="BJ98"/>
  <c r="BI98"/>
  <c r="BH98"/>
  <c r="BM97"/>
  <c r="BL97"/>
  <c r="BK97"/>
  <c r="BJ97"/>
  <c r="BI97"/>
  <c r="BH97"/>
  <c r="BM96"/>
  <c r="BL96"/>
  <c r="BJ96"/>
  <c r="BI96"/>
  <c r="BM95"/>
  <c r="BL95"/>
  <c r="BK95"/>
  <c r="BJ95"/>
  <c r="BI95"/>
  <c r="BH95"/>
  <c r="BM94"/>
  <c r="BL94"/>
  <c r="BK94"/>
  <c r="BJ94"/>
  <c r="BI94"/>
  <c r="BH94"/>
  <c r="BM93"/>
  <c r="BL93"/>
  <c r="BK93"/>
  <c r="BJ93"/>
  <c r="BI93"/>
  <c r="BH93"/>
  <c r="BM92"/>
  <c r="BL92"/>
  <c r="BK92"/>
  <c r="BJ92"/>
  <c r="BI92"/>
  <c r="BH92"/>
  <c r="BM91"/>
  <c r="BL91"/>
  <c r="BK91"/>
  <c r="BJ91"/>
  <c r="BI91"/>
  <c r="BH91"/>
  <c r="BM90"/>
  <c r="BL90"/>
  <c r="BK90"/>
  <c r="BJ90"/>
  <c r="BI90"/>
  <c r="BH90"/>
  <c r="BM89"/>
  <c r="BL89"/>
  <c r="BK89"/>
  <c r="BJ89"/>
  <c r="BI89"/>
  <c r="BH89"/>
  <c r="BM88"/>
  <c r="BL88"/>
  <c r="BK88"/>
  <c r="BJ88"/>
  <c r="BI88"/>
  <c r="BH88"/>
  <c r="BM87"/>
  <c r="BL87"/>
  <c r="BK87"/>
  <c r="BJ87"/>
  <c r="BI87"/>
  <c r="BH87"/>
  <c r="BM84"/>
  <c r="BL84"/>
  <c r="BK84"/>
  <c r="BM83"/>
  <c r="BL83"/>
  <c r="BK83"/>
  <c r="BI83"/>
  <c r="BH83"/>
  <c r="BM82"/>
  <c r="BL82"/>
  <c r="BK82"/>
  <c r="BJ82"/>
  <c r="BI82"/>
  <c r="BH82"/>
  <c r="BM81"/>
  <c r="BL81"/>
  <c r="BI81"/>
  <c r="BH81"/>
  <c r="BM80"/>
  <c r="BL80"/>
  <c r="BK80"/>
  <c r="BJ80"/>
  <c r="BI80"/>
  <c r="BH80"/>
  <c r="BM79"/>
  <c r="BL79"/>
  <c r="BK79"/>
  <c r="BI79"/>
  <c r="BH79"/>
  <c r="BM78"/>
  <c r="BL78"/>
  <c r="BK78"/>
  <c r="BJ78"/>
  <c r="BI78"/>
  <c r="BH78"/>
  <c r="BM77"/>
  <c r="BL77"/>
  <c r="BI77"/>
  <c r="BH77"/>
  <c r="BM76"/>
  <c r="BL76"/>
  <c r="BK76"/>
  <c r="BJ76"/>
  <c r="BI76"/>
  <c r="BH76"/>
  <c r="BM75"/>
  <c r="BL75"/>
  <c r="BK75"/>
  <c r="BJ75"/>
  <c r="BI75"/>
  <c r="BH75"/>
  <c r="BM74"/>
  <c r="BL74"/>
  <c r="BK74"/>
  <c r="BJ74"/>
  <c r="BI74"/>
  <c r="BH74"/>
  <c r="BM73"/>
  <c r="BL73"/>
  <c r="BK73"/>
  <c r="BI73"/>
  <c r="BH73"/>
  <c r="BM72"/>
  <c r="BL72"/>
  <c r="BK72"/>
  <c r="BJ72"/>
  <c r="BI72"/>
  <c r="BH72"/>
  <c r="BM71"/>
  <c r="BL71"/>
  <c r="BK71"/>
  <c r="BJ71"/>
  <c r="BI71"/>
  <c r="BH71"/>
  <c r="BM70"/>
  <c r="BL70"/>
  <c r="BK70"/>
  <c r="BJ70"/>
  <c r="BI70"/>
  <c r="BH70"/>
  <c r="BM69"/>
  <c r="BL69"/>
  <c r="BK69"/>
  <c r="BI69"/>
  <c r="BH69"/>
  <c r="BM68"/>
  <c r="BL68"/>
  <c r="BK68"/>
  <c r="BJ68"/>
  <c r="BI68"/>
  <c r="BH68"/>
  <c r="BM67"/>
  <c r="BL67"/>
  <c r="BK67"/>
  <c r="BJ67"/>
  <c r="BI67"/>
  <c r="BH67"/>
  <c r="BM66"/>
  <c r="BL66"/>
  <c r="BK66"/>
  <c r="BJ66"/>
  <c r="BI66"/>
  <c r="BH66"/>
  <c r="BM65"/>
  <c r="BL65"/>
  <c r="BK65"/>
  <c r="BJ65"/>
  <c r="BI65"/>
  <c r="BH65"/>
  <c r="BM64"/>
  <c r="BL64"/>
  <c r="BK64"/>
  <c r="BJ64"/>
  <c r="BI64"/>
  <c r="BH64"/>
  <c r="BM63"/>
  <c r="BL63"/>
  <c r="BK63"/>
  <c r="BJ63"/>
  <c r="BI63"/>
  <c r="BH63"/>
  <c r="BM62"/>
  <c r="BL62"/>
  <c r="BK62"/>
  <c r="BJ62"/>
  <c r="BI62"/>
  <c r="BH62"/>
  <c r="BM61"/>
  <c r="BL61"/>
  <c r="BK61"/>
  <c r="BJ61"/>
  <c r="BI61"/>
  <c r="BH61"/>
  <c r="BM60"/>
  <c r="BL60"/>
  <c r="BK60"/>
  <c r="BJ60"/>
  <c r="BI60"/>
  <c r="BH60"/>
  <c r="BM59"/>
  <c r="BL59"/>
  <c r="BM58"/>
  <c r="BL58"/>
  <c r="BM57"/>
  <c r="BL57"/>
  <c r="BK57"/>
  <c r="BJ57"/>
  <c r="BI57"/>
  <c r="BH57"/>
  <c r="BM56"/>
  <c r="BL56"/>
  <c r="BM55"/>
  <c r="BL55"/>
  <c r="BK55"/>
  <c r="BJ55"/>
  <c r="BI55"/>
  <c r="BH55"/>
  <c r="BM54"/>
  <c r="BL54"/>
  <c r="BK54"/>
  <c r="BJ54"/>
  <c r="BI54"/>
  <c r="BH54"/>
  <c r="BM53"/>
  <c r="BL53"/>
  <c r="BK53"/>
  <c r="BJ53"/>
  <c r="BI53"/>
  <c r="BH53"/>
  <c r="BM52"/>
  <c r="BL52"/>
  <c r="BK52"/>
  <c r="BJ52"/>
  <c r="BM51"/>
  <c r="BL51"/>
  <c r="BK51"/>
  <c r="BJ51"/>
  <c r="BI51"/>
  <c r="BH51"/>
  <c r="BM50"/>
  <c r="BL50"/>
  <c r="BK50"/>
  <c r="BH50"/>
  <c r="BM49"/>
  <c r="BL49"/>
  <c r="BK49"/>
  <c r="BJ49"/>
  <c r="BI49"/>
  <c r="BH49"/>
  <c r="BM48"/>
  <c r="BL48"/>
  <c r="BK48"/>
  <c r="BJ48"/>
  <c r="BI48"/>
  <c r="BH48"/>
  <c r="BM47"/>
  <c r="BL47"/>
  <c r="BK47"/>
  <c r="BJ47"/>
  <c r="BI47"/>
  <c r="BH47"/>
  <c r="BM46"/>
  <c r="BL46"/>
  <c r="BK46"/>
  <c r="BJ46"/>
  <c r="BI46"/>
  <c r="BH46"/>
  <c r="BM45"/>
  <c r="BL45"/>
  <c r="BK45"/>
  <c r="BJ45"/>
  <c r="BI45"/>
  <c r="BH45"/>
  <c r="BM44"/>
  <c r="BL44"/>
  <c r="BK44"/>
  <c r="BJ44"/>
  <c r="BI44"/>
  <c r="BH44"/>
  <c r="BM43"/>
  <c r="BL43"/>
  <c r="BK43"/>
  <c r="BJ43"/>
  <c r="BI43"/>
  <c r="BH43"/>
  <c r="BM42"/>
  <c r="BL42"/>
  <c r="BK42"/>
  <c r="BJ42"/>
  <c r="BI42"/>
  <c r="BH42"/>
  <c r="BM40"/>
  <c r="BM39"/>
  <c r="BM38"/>
  <c r="BL38"/>
  <c r="BM37"/>
  <c r="BM36"/>
  <c r="BM35"/>
  <c r="BM34"/>
  <c r="BL34"/>
  <c r="BK34"/>
  <c r="BJ34"/>
  <c r="BI34"/>
  <c r="BH34"/>
  <c r="BM33"/>
  <c r="BM32"/>
  <c r="BL32"/>
  <c r="BK32"/>
  <c r="BJ32"/>
  <c r="BI32"/>
  <c r="BH32"/>
  <c r="BM31"/>
  <c r="BL31"/>
  <c r="BK31"/>
  <c r="BJ31"/>
  <c r="BI31"/>
  <c r="BH31"/>
  <c r="BM28"/>
  <c r="BL28"/>
  <c r="BJ28"/>
  <c r="BI28"/>
  <c r="BH28"/>
  <c r="BM27"/>
  <c r="BL27"/>
  <c r="BK27"/>
  <c r="BJ27"/>
  <c r="BI27"/>
  <c r="BH27"/>
  <c r="BG27"/>
  <c r="BM26"/>
  <c r="BL26"/>
  <c r="BJ26"/>
  <c r="BI26"/>
  <c r="BH26"/>
  <c r="BM25"/>
  <c r="W39"/>
  <c r="W40"/>
  <c r="AM26"/>
  <c r="AM27" s="1"/>
  <c r="AM28" s="1"/>
  <c r="AM29" s="1"/>
  <c r="AM30" s="1"/>
  <c r="AM31" s="1"/>
  <c r="AM32" s="1"/>
  <c r="AM33" s="1"/>
  <c r="AM34" s="1"/>
  <c r="AM35" s="1"/>
  <c r="AM36" s="1"/>
  <c r="AM37" s="1"/>
  <c r="AM38" s="1"/>
  <c r="AM39" s="1"/>
  <c r="AM40" s="1"/>
  <c r="AM41" s="1"/>
  <c r="AM42" s="1"/>
  <c r="AM43" s="1"/>
  <c r="AM44" s="1"/>
  <c r="AM45" s="1"/>
  <c r="AM46" s="1"/>
  <c r="AM47" s="1"/>
  <c r="AM48" s="1"/>
  <c r="AM49" s="1"/>
  <c r="AM50" s="1"/>
  <c r="AM51" s="1"/>
  <c r="AM52" s="1"/>
  <c r="AM53" s="1"/>
  <c r="AM54" s="1"/>
  <c r="AM55" s="1"/>
  <c r="AM56" s="1"/>
  <c r="AM57" s="1"/>
  <c r="AM58" s="1"/>
  <c r="AM59" s="1"/>
  <c r="AM60" s="1"/>
  <c r="AM61" s="1"/>
  <c r="AM62" s="1"/>
  <c r="AM63" s="1"/>
  <c r="AM64" s="1"/>
  <c r="AM65" s="1"/>
  <c r="AM66" s="1"/>
  <c r="AM67" s="1"/>
  <c r="AM68" s="1"/>
  <c r="AM69" s="1"/>
  <c r="AM70" s="1"/>
  <c r="AM71" s="1"/>
  <c r="AM72" s="1"/>
  <c r="AM73" s="1"/>
  <c r="AM74" s="1"/>
  <c r="AM75" s="1"/>
  <c r="AM76" s="1"/>
  <c r="AM77" s="1"/>
  <c r="AM78" s="1"/>
  <c r="AM79" s="1"/>
  <c r="AM80" s="1"/>
  <c r="AM81" s="1"/>
  <c r="AM82" s="1"/>
  <c r="AM83" s="1"/>
  <c r="AM84" s="1"/>
  <c r="AM85" s="1"/>
  <c r="AM86" s="1"/>
  <c r="AM87" s="1"/>
  <c r="AM88" s="1"/>
  <c r="AM89" s="1"/>
  <c r="AM90" s="1"/>
  <c r="AM91" s="1"/>
  <c r="AM92" s="1"/>
  <c r="AM93" s="1"/>
  <c r="AM94" s="1"/>
  <c r="AM95" s="1"/>
  <c r="AM96" s="1"/>
  <c r="AM97" s="1"/>
  <c r="AM98" s="1"/>
  <c r="AM99" s="1"/>
  <c r="AM100" s="1"/>
  <c r="AM101" s="1"/>
  <c r="AM102" s="1"/>
  <c r="AM103" s="1"/>
  <c r="AM104" s="1"/>
  <c r="AM105" s="1"/>
  <c r="AM106" s="1"/>
  <c r="AM107" s="1"/>
  <c r="AM108" s="1"/>
  <c r="AM109" s="1"/>
  <c r="AM110" s="1"/>
  <c r="AM111" s="1"/>
  <c r="AM112" s="1"/>
  <c r="AM113" s="1"/>
  <c r="AM114" s="1"/>
  <c r="AM115" s="1"/>
  <c r="AM116" s="1"/>
  <c r="AM117" s="1"/>
  <c r="AM118" s="1"/>
  <c r="AM119" s="1"/>
  <c r="AM120" s="1"/>
  <c r="AM121" s="1"/>
  <c r="AM122" s="1"/>
  <c r="AM123" s="1"/>
  <c r="AM124" s="1"/>
  <c r="AM125" s="1"/>
  <c r="AM126" s="1"/>
  <c r="AM127" s="1"/>
  <c r="AM128" s="1"/>
  <c r="AM129" s="1"/>
  <c r="AM130" s="1"/>
  <c r="AM131" s="1"/>
  <c r="AM132" s="1"/>
  <c r="AM133" s="1"/>
  <c r="AM134" s="1"/>
  <c r="AM135" s="1"/>
  <c r="AM136" s="1"/>
  <c r="AM137" s="1"/>
  <c r="AM138" s="1"/>
  <c r="AM139" s="1"/>
  <c r="AM140" s="1"/>
  <c r="AM141" s="1"/>
  <c r="AM142" s="1"/>
  <c r="AM143" s="1"/>
  <c r="AM144" s="1"/>
  <c r="AM145" s="1"/>
  <c r="AM146" s="1"/>
  <c r="AM147" s="1"/>
  <c r="AM148" s="1"/>
  <c r="AM149" s="1"/>
  <c r="AM150" s="1"/>
  <c r="AM151" s="1"/>
  <c r="AM152" s="1"/>
  <c r="AM153" s="1"/>
  <c r="AM154" s="1"/>
  <c r="AM155" s="1"/>
  <c r="AM156" s="1"/>
  <c r="W42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V39"/>
  <c r="V41"/>
  <c r="V45"/>
  <c r="V46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U39"/>
  <c r="U40"/>
  <c r="U41"/>
  <c r="U42"/>
  <c r="U43"/>
  <c r="U44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P5"/>
  <c r="O6"/>
  <c r="M5"/>
  <c r="M6"/>
  <c r="L6"/>
  <c r="J6"/>
  <c r="H6"/>
  <c r="F6"/>
  <c r="C13"/>
  <c r="E13" s="1"/>
  <c r="AO16"/>
  <c r="AO18"/>
  <c r="AP14"/>
  <c r="AO14"/>
  <c r="BF5"/>
  <c r="J34"/>
  <c r="J33"/>
  <c r="A35"/>
  <c r="A36"/>
  <c r="A34"/>
  <c r="A33"/>
  <c r="J8"/>
  <c r="F8"/>
  <c r="M20"/>
  <c r="H13"/>
  <c r="H15"/>
  <c r="L15" s="1"/>
  <c r="H18"/>
  <c r="J20"/>
  <c r="L12"/>
  <c r="A22"/>
  <c r="BA7"/>
  <c r="BA5"/>
  <c r="BA9"/>
  <c r="BA6"/>
  <c r="BA8"/>
  <c r="L5"/>
  <c r="J5"/>
  <c r="BB6"/>
  <c r="BB5"/>
  <c r="BA10"/>
  <c r="H23"/>
  <c r="C11"/>
  <c r="J13"/>
  <c r="J15"/>
  <c r="J16"/>
  <c r="J22"/>
  <c r="J23"/>
  <c r="M23"/>
  <c r="L23"/>
  <c r="F23"/>
  <c r="M22"/>
  <c r="M18"/>
  <c r="L18"/>
  <c r="E14"/>
  <c r="F13"/>
  <c r="E10"/>
  <c r="E11"/>
  <c r="C14"/>
  <c r="L16"/>
  <c r="M8"/>
  <c r="H47"/>
  <c r="T6" i="2"/>
  <c r="T7" s="1"/>
  <c r="AG122" i="1"/>
  <c r="AF3" i="2"/>
  <c r="AE7"/>
  <c r="AH2"/>
  <c r="S6"/>
  <c r="S7" s="1"/>
  <c r="U6"/>
  <c r="U7" s="1"/>
  <c r="W6"/>
  <c r="W7" s="1"/>
  <c r="AD6"/>
  <c r="AD7" s="1"/>
  <c r="BJ81" i="1"/>
  <c r="BH122"/>
  <c r="BH38"/>
  <c r="BI38"/>
  <c r="BJ122"/>
  <c r="BJ38"/>
  <c r="BK38"/>
  <c r="BI120"/>
  <c r="BI122"/>
  <c r="BK122"/>
  <c r="BK26"/>
  <c r="S72" l="1"/>
  <c r="T72" s="1"/>
  <c r="S61"/>
  <c r="T61" s="1"/>
  <c r="I6"/>
  <c r="P74"/>
  <c r="Q74" s="1"/>
  <c r="M59"/>
  <c r="BN106"/>
  <c r="M55"/>
  <c r="P66"/>
  <c r="Q66" s="1"/>
  <c r="P48"/>
  <c r="Q48" s="1"/>
  <c r="H55"/>
  <c r="H70"/>
  <c r="H57"/>
  <c r="H44"/>
  <c r="P50"/>
  <c r="Q50" s="1"/>
  <c r="H49"/>
  <c r="M39"/>
  <c r="H76"/>
  <c r="O46"/>
  <c r="H68"/>
  <c r="F72"/>
  <c r="J72" s="1"/>
  <c r="F53"/>
  <c r="J53" s="1"/>
  <c r="O47"/>
  <c r="F79"/>
  <c r="J79" s="1"/>
  <c r="O52"/>
  <c r="P75"/>
  <c r="Q75" s="1"/>
  <c r="P58"/>
  <c r="Q58" s="1"/>
  <c r="M72"/>
  <c r="F76"/>
  <c r="J76" s="1"/>
  <c r="M64"/>
  <c r="F59"/>
  <c r="J59" s="1"/>
  <c r="M40"/>
  <c r="O42"/>
  <c r="S49"/>
  <c r="T49" s="1"/>
  <c r="O41"/>
  <c r="S68"/>
  <c r="T68" s="1"/>
  <c r="L58"/>
  <c r="O77"/>
  <c r="O68"/>
  <c r="O60"/>
  <c r="L47"/>
  <c r="H43"/>
  <c r="M56"/>
  <c r="M47"/>
  <c r="P41"/>
  <c r="H72"/>
  <c r="P79"/>
  <c r="Q79" s="1"/>
  <c r="O56"/>
  <c r="L51"/>
  <c r="F57"/>
  <c r="J57" s="1"/>
  <c r="P62"/>
  <c r="Q62" s="1"/>
  <c r="S53"/>
  <c r="T53" s="1"/>
  <c r="L46"/>
  <c r="H53"/>
  <c r="P44"/>
  <c r="L62"/>
  <c r="P46"/>
  <c r="H42"/>
  <c r="L63"/>
  <c r="L78"/>
  <c r="M66"/>
  <c r="P63"/>
  <c r="Q63" s="1"/>
  <c r="S69"/>
  <c r="T69" s="1"/>
  <c r="P71"/>
  <c r="Q71" s="1"/>
  <c r="F61"/>
  <c r="J61" s="1"/>
  <c r="S65"/>
  <c r="T65" s="1"/>
  <c r="O44"/>
  <c r="M75"/>
  <c r="S52"/>
  <c r="T52" s="1"/>
  <c r="F65"/>
  <c r="J65" s="1"/>
  <c r="H61"/>
  <c r="M71"/>
  <c r="S56"/>
  <c r="T56" s="1"/>
  <c r="F67"/>
  <c r="J67" s="1"/>
  <c r="P45"/>
  <c r="Q45" s="1"/>
  <c r="S77"/>
  <c r="T77" s="1"/>
  <c r="O59"/>
  <c r="H63"/>
  <c r="L59"/>
  <c r="BN54"/>
  <c r="M79"/>
  <c r="N79" s="1"/>
  <c r="S48"/>
  <c r="T48" s="1"/>
  <c r="H40"/>
  <c r="P42"/>
  <c r="L67"/>
  <c r="O73"/>
  <c r="O63"/>
  <c r="M58"/>
  <c r="F42"/>
  <c r="J42" s="1"/>
  <c r="P59"/>
  <c r="Q59" s="1"/>
  <c r="L75"/>
  <c r="P52"/>
  <c r="Q52" s="1"/>
  <c r="M50"/>
  <c r="M63"/>
  <c r="S41"/>
  <c r="W41" s="1"/>
  <c r="P55"/>
  <c r="Q55" s="1"/>
  <c r="S64"/>
  <c r="T64" s="1"/>
  <c r="L79"/>
  <c r="F71"/>
  <c r="J71" s="1"/>
  <c r="F49"/>
  <c r="J49" s="1"/>
  <c r="P78"/>
  <c r="Q78" s="1"/>
  <c r="O55"/>
  <c r="H65"/>
  <c r="M52"/>
  <c r="M78"/>
  <c r="M69"/>
  <c r="H73"/>
  <c r="P69"/>
  <c r="Q69" s="1"/>
  <c r="S58"/>
  <c r="T58" s="1"/>
  <c r="O66"/>
  <c r="L53"/>
  <c r="F62"/>
  <c r="J62" s="1"/>
  <c r="F54"/>
  <c r="J54" s="1"/>
  <c r="P56"/>
  <c r="Q56" s="1"/>
  <c r="S71"/>
  <c r="T71" s="1"/>
  <c r="O53"/>
  <c r="L64"/>
  <c r="H66"/>
  <c r="H50"/>
  <c r="O40"/>
  <c r="F40"/>
  <c r="J40" s="1"/>
  <c r="M42"/>
  <c r="M51"/>
  <c r="S42"/>
  <c r="R42" s="1"/>
  <c r="H41"/>
  <c r="P39"/>
  <c r="H74"/>
  <c r="P47"/>
  <c r="P67"/>
  <c r="Q67" s="1"/>
  <c r="S76"/>
  <c r="T76" s="1"/>
  <c r="S60"/>
  <c r="T60" s="1"/>
  <c r="O48"/>
  <c r="O64"/>
  <c r="L71"/>
  <c r="L55"/>
  <c r="F75"/>
  <c r="J75" s="1"/>
  <c r="F63"/>
  <c r="J63" s="1"/>
  <c r="F55"/>
  <c r="J55" s="1"/>
  <c r="F47"/>
  <c r="J47" s="1"/>
  <c r="P54"/>
  <c r="Q54" s="1"/>
  <c r="P70"/>
  <c r="Q70" s="1"/>
  <c r="S73"/>
  <c r="T73" s="1"/>
  <c r="S57"/>
  <c r="T57" s="1"/>
  <c r="O51"/>
  <c r="O67"/>
  <c r="L66"/>
  <c r="L50"/>
  <c r="F68"/>
  <c r="J68" s="1"/>
  <c r="H59"/>
  <c r="H51"/>
  <c r="F43"/>
  <c r="J43" s="1"/>
  <c r="L40"/>
  <c r="O45"/>
  <c r="M46"/>
  <c r="M53"/>
  <c r="S39"/>
  <c r="T39" s="1"/>
  <c r="P53"/>
  <c r="Q53" s="1"/>
  <c r="S74"/>
  <c r="T74" s="1"/>
  <c r="O50"/>
  <c r="L69"/>
  <c r="F73"/>
  <c r="J73" s="1"/>
  <c r="F46"/>
  <c r="J46" s="1"/>
  <c r="P72"/>
  <c r="Q72" s="1"/>
  <c r="S55"/>
  <c r="T55" s="1"/>
  <c r="O69"/>
  <c r="L48"/>
  <c r="H58"/>
  <c r="M48"/>
  <c r="M74"/>
  <c r="M67"/>
  <c r="S45"/>
  <c r="M44"/>
  <c r="M76"/>
  <c r="M70"/>
  <c r="M49"/>
  <c r="M65"/>
  <c r="S44"/>
  <c r="L41"/>
  <c r="F41"/>
  <c r="J41" s="1"/>
  <c r="H75"/>
  <c r="H67"/>
  <c r="P65"/>
  <c r="Q65" s="1"/>
  <c r="S78"/>
  <c r="T78" s="1"/>
  <c r="S62"/>
  <c r="T62" s="1"/>
  <c r="S46"/>
  <c r="R46" s="1"/>
  <c r="O62"/>
  <c r="L73"/>
  <c r="L57"/>
  <c r="F77"/>
  <c r="J77" s="1"/>
  <c r="F64"/>
  <c r="J64" s="1"/>
  <c r="F56"/>
  <c r="J56" s="1"/>
  <c r="F48"/>
  <c r="J48" s="1"/>
  <c r="O79"/>
  <c r="P68"/>
  <c r="Q68" s="1"/>
  <c r="S75"/>
  <c r="T75" s="1"/>
  <c r="S59"/>
  <c r="T59" s="1"/>
  <c r="O49"/>
  <c r="O65"/>
  <c r="L68"/>
  <c r="L52"/>
  <c r="F70"/>
  <c r="J70" s="1"/>
  <c r="H60"/>
  <c r="H52"/>
  <c r="P43"/>
  <c r="L70"/>
  <c r="L54"/>
  <c r="O43"/>
  <c r="P51"/>
  <c r="Q51" s="1"/>
  <c r="M68"/>
  <c r="M62"/>
  <c r="M45"/>
  <c r="M61"/>
  <c r="M77"/>
  <c r="S43"/>
  <c r="W43" s="1"/>
  <c r="L42"/>
  <c r="H77"/>
  <c r="H69"/>
  <c r="P61"/>
  <c r="Q61" s="1"/>
  <c r="P77"/>
  <c r="Q77" s="1"/>
  <c r="S66"/>
  <c r="T66" s="1"/>
  <c r="S50"/>
  <c r="T50" s="1"/>
  <c r="O58"/>
  <c r="L77"/>
  <c r="L61"/>
  <c r="H78"/>
  <c r="F66"/>
  <c r="J66" s="1"/>
  <c r="F58"/>
  <c r="J58" s="1"/>
  <c r="F50"/>
  <c r="J50" s="1"/>
  <c r="O75"/>
  <c r="P64"/>
  <c r="Q64" s="1"/>
  <c r="S79"/>
  <c r="T79" s="1"/>
  <c r="S63"/>
  <c r="T63" s="1"/>
  <c r="S47"/>
  <c r="O61"/>
  <c r="L72"/>
  <c r="L56"/>
  <c r="F74"/>
  <c r="J74" s="1"/>
  <c r="H62"/>
  <c r="H54"/>
  <c r="H46"/>
  <c r="L74"/>
  <c r="P49"/>
  <c r="Q49" s="1"/>
  <c r="L45"/>
  <c r="M60"/>
  <c r="M54"/>
  <c r="M41"/>
  <c r="M57"/>
  <c r="M73"/>
  <c r="L43"/>
  <c r="H79"/>
  <c r="H71"/>
  <c r="P57"/>
  <c r="Q57" s="1"/>
  <c r="P73"/>
  <c r="Q73" s="1"/>
  <c r="S70"/>
  <c r="T70" s="1"/>
  <c r="S54"/>
  <c r="T54" s="1"/>
  <c r="O54"/>
  <c r="O70"/>
  <c r="L65"/>
  <c r="L49"/>
  <c r="F69"/>
  <c r="J69" s="1"/>
  <c r="F60"/>
  <c r="J60" s="1"/>
  <c r="F52"/>
  <c r="J52" s="1"/>
  <c r="O71"/>
  <c r="P60"/>
  <c r="Q60" s="1"/>
  <c r="P76"/>
  <c r="Q76" s="1"/>
  <c r="S67"/>
  <c r="T67" s="1"/>
  <c r="S51"/>
  <c r="T51" s="1"/>
  <c r="O57"/>
  <c r="L76"/>
  <c r="L60"/>
  <c r="F78"/>
  <c r="J78" s="1"/>
  <c r="H64"/>
  <c r="H56"/>
  <c r="H48"/>
  <c r="T11"/>
  <c r="O74"/>
  <c r="T10"/>
  <c r="T7"/>
  <c r="C12"/>
  <c r="E12" s="1"/>
  <c r="H12"/>
  <c r="J12"/>
  <c r="C9"/>
  <c r="O78"/>
  <c r="AF6" i="2"/>
  <c r="AF7" s="1"/>
  <c r="AG3"/>
  <c r="L6"/>
  <c r="J6"/>
  <c r="H6"/>
  <c r="A7"/>
  <c r="K6"/>
  <c r="I6"/>
  <c r="G6"/>
  <c r="Y3"/>
  <c r="X6"/>
  <c r="X7" s="1"/>
  <c r="Z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B27" i="1"/>
  <c r="B31"/>
  <c r="B34"/>
  <c r="E34" s="1"/>
  <c r="B36"/>
  <c r="E36" s="1"/>
  <c r="B29"/>
  <c r="B33"/>
  <c r="E33" s="1"/>
  <c r="B35"/>
  <c r="E35" s="1"/>
  <c r="L13"/>
  <c r="R6" i="2"/>
  <c r="R7" s="1"/>
  <c r="AG124" i="1"/>
  <c r="AF125"/>
  <c r="AF126" s="1"/>
  <c r="O76"/>
  <c r="F44"/>
  <c r="J44" s="1"/>
  <c r="F45"/>
  <c r="J45" s="1"/>
  <c r="H45"/>
  <c r="O72"/>
  <c r="P40"/>
  <c r="S40"/>
  <c r="V40" s="1"/>
  <c r="W44"/>
  <c r="Q47" l="1"/>
  <c r="Q46"/>
  <c r="Q42"/>
  <c r="Q41"/>
  <c r="R39"/>
  <c r="R41"/>
  <c r="T41"/>
  <c r="Q44"/>
  <c r="W45"/>
  <c r="W38" s="1"/>
  <c r="U45"/>
  <c r="U38" s="1"/>
  <c r="T47"/>
  <c r="V47"/>
  <c r="T42"/>
  <c r="V42"/>
  <c r="T44"/>
  <c r="V44"/>
  <c r="T43"/>
  <c r="V43"/>
  <c r="N78"/>
  <c r="N77" s="1"/>
  <c r="N76" s="1"/>
  <c r="N75" s="1"/>
  <c r="N74" s="1"/>
  <c r="N73" s="1"/>
  <c r="N72" s="1"/>
  <c r="N71" s="1"/>
  <c r="N70" s="1"/>
  <c r="N69" s="1"/>
  <c r="N68" s="1"/>
  <c r="N67" s="1"/>
  <c r="N66" s="1"/>
  <c r="N65" s="1"/>
  <c r="N64" s="1"/>
  <c r="N63" s="1"/>
  <c r="N62" s="1"/>
  <c r="N61" s="1"/>
  <c r="N60" s="1"/>
  <c r="N59" s="1"/>
  <c r="N58" s="1"/>
  <c r="N57" s="1"/>
  <c r="N56" s="1"/>
  <c r="N55" s="1"/>
  <c r="N54" s="1"/>
  <c r="N53" s="1"/>
  <c r="N52" s="1"/>
  <c r="N51" s="1"/>
  <c r="N50" s="1"/>
  <c r="N49" s="1"/>
  <c r="N48" s="1"/>
  <c r="N47" s="1"/>
  <c r="N46" s="1"/>
  <c r="N45" s="1"/>
  <c r="N44" s="1"/>
  <c r="N43" s="1"/>
  <c r="N42" s="1"/>
  <c r="N41" s="1"/>
  <c r="N40" s="1"/>
  <c r="N39" s="1"/>
  <c r="N38" s="1"/>
  <c r="N37" s="1"/>
  <c r="N36" s="1"/>
  <c r="N35" s="1"/>
  <c r="N34" s="1"/>
  <c r="N33" s="1"/>
  <c r="N32" s="1"/>
  <c r="N31" s="1"/>
  <c r="N30" s="1"/>
  <c r="N29" s="1"/>
  <c r="N28" s="1"/>
  <c r="N27" s="1"/>
  <c r="N26" s="1"/>
  <c r="N25" s="1"/>
  <c r="N24" s="1"/>
  <c r="N23" s="1"/>
  <c r="N22" s="1"/>
  <c r="N21" s="1"/>
  <c r="N20" s="1"/>
  <c r="N19" s="1"/>
  <c r="N18" s="1"/>
  <c r="N17" s="1"/>
  <c r="N16" s="1"/>
  <c r="N15" s="1"/>
  <c r="N14" s="1"/>
  <c r="N13" s="1"/>
  <c r="N12" s="1"/>
  <c r="N11" s="1"/>
  <c r="N10" s="1"/>
  <c r="N9" s="1"/>
  <c r="N8" s="1"/>
  <c r="N7" s="1"/>
  <c r="N6" s="1"/>
  <c r="N5" s="1"/>
  <c r="N4" s="1"/>
  <c r="N3" s="1"/>
  <c r="B3" s="1"/>
  <c r="R45"/>
  <c r="T45"/>
  <c r="R43"/>
  <c r="Q43"/>
  <c r="AO127"/>
  <c r="BH127" s="1"/>
  <c r="R44"/>
  <c r="T46"/>
  <c r="BC28"/>
  <c r="BK28" s="1"/>
  <c r="F18"/>
  <c r="J18" s="1"/>
  <c r="D9"/>
  <c r="AQ84"/>
  <c r="BJ84" s="1"/>
  <c r="H20"/>
  <c r="L20" s="1"/>
  <c r="J9"/>
  <c r="E8"/>
  <c r="BB50"/>
  <c r="BJ50" s="1"/>
  <c r="E29"/>
  <c r="E27"/>
  <c r="O5"/>
  <c r="E28"/>
  <c r="E31"/>
  <c r="Z3" i="2"/>
  <c r="Y6"/>
  <c r="Y7" s="1"/>
  <c r="A8"/>
  <c r="K7"/>
  <c r="I7"/>
  <c r="G7"/>
  <c r="L7"/>
  <c r="J7"/>
  <c r="H7"/>
  <c r="AH3"/>
  <c r="AH6" s="1"/>
  <c r="AH7" s="1"/>
  <c r="AG6"/>
  <c r="AG7" s="1"/>
  <c r="AF127" i="1"/>
  <c r="AF128" s="1"/>
  <c r="AG126"/>
  <c r="AP127"/>
  <c r="AQ127" s="1"/>
  <c r="BJ127" s="1"/>
  <c r="BA59"/>
  <c r="BI59" s="1"/>
  <c r="AZ59"/>
  <c r="BH59" s="1"/>
  <c r="Q40"/>
  <c r="BH124"/>
  <c r="BH125"/>
  <c r="T40"/>
  <c r="R40"/>
  <c r="BI124"/>
  <c r="V38" l="1"/>
  <c r="E32"/>
  <c r="E30"/>
  <c r="L8" i="2"/>
  <c r="J8"/>
  <c r="H8"/>
  <c r="A9"/>
  <c r="K8"/>
  <c r="I8"/>
  <c r="G8"/>
  <c r="AA3"/>
  <c r="AA6" s="1"/>
  <c r="AA7" s="1"/>
  <c r="Z6"/>
  <c r="Z7" s="1"/>
  <c r="BI127" i="1"/>
  <c r="AG128"/>
  <c r="AF129"/>
  <c r="BH56"/>
  <c r="F39" s="1"/>
  <c r="J39" s="1"/>
  <c r="F2" s="1"/>
  <c r="BH58"/>
  <c r="BB59"/>
  <c r="BJ59" s="1"/>
  <c r="BI58"/>
  <c r="BI56"/>
  <c r="H39" s="1"/>
  <c r="BJ124"/>
  <c r="BJ125"/>
  <c r="L9" i="2" l="1"/>
  <c r="J9"/>
  <c r="H9"/>
  <c r="G9"/>
  <c r="K9"/>
  <c r="I9"/>
  <c r="A10"/>
  <c r="AF130" i="1"/>
  <c r="BK56"/>
  <c r="O39" s="1"/>
  <c r="Q39" s="1"/>
  <c r="BJ56"/>
  <c r="BJ58"/>
  <c r="BK124"/>
  <c r="BK125"/>
  <c r="L39" l="1"/>
  <c r="L44"/>
  <c r="BC59"/>
  <c r="AR127"/>
  <c r="BK127" s="1"/>
  <c r="K10" i="2"/>
  <c r="G10"/>
  <c r="J10"/>
  <c r="I10"/>
  <c r="H10"/>
  <c r="A11"/>
  <c r="L10"/>
  <c r="AG130" i="1"/>
  <c r="AF131"/>
  <c r="AF132" s="1"/>
  <c r="BK58" l="1"/>
  <c r="BK59"/>
  <c r="K11" i="2"/>
  <c r="G11"/>
  <c r="J11"/>
  <c r="A12"/>
  <c r="L11"/>
  <c r="I11"/>
  <c r="H11"/>
  <c r="AG132" i="1"/>
  <c r="AF133"/>
  <c r="AF134" s="1"/>
  <c r="A13" i="2" l="1"/>
  <c r="I12"/>
  <c r="L12"/>
  <c r="H12"/>
  <c r="G12"/>
  <c r="K12"/>
  <c r="J12"/>
  <c r="AF135" i="1"/>
  <c r="AF136" s="1"/>
  <c r="AG134"/>
  <c r="A14" i="2" l="1"/>
  <c r="J13"/>
  <c r="K13"/>
  <c r="G13"/>
  <c r="H13"/>
  <c r="L13"/>
  <c r="I13"/>
  <c r="AG136" i="1"/>
  <c r="AF137"/>
  <c r="A15" i="2" l="1"/>
  <c r="I14"/>
  <c r="L14"/>
  <c r="H14"/>
  <c r="K14"/>
  <c r="J14"/>
  <c r="G14"/>
  <c r="AF138" i="1"/>
  <c r="AG138" s="1"/>
  <c r="AP125"/>
  <c r="L15" i="2" l="1"/>
  <c r="H15"/>
  <c r="I15"/>
  <c r="J15"/>
  <c r="G15"/>
  <c r="A16"/>
  <c r="K15"/>
  <c r="BI123" i="1"/>
  <c r="BI125"/>
  <c r="A17" i="2" l="1"/>
  <c r="I16"/>
  <c r="L16"/>
  <c r="H16"/>
  <c r="G16"/>
  <c r="K16"/>
  <c r="J16"/>
  <c r="K17" l="1"/>
  <c r="G17"/>
  <c r="J17"/>
  <c r="A18"/>
  <c r="L17"/>
  <c r="I17"/>
  <c r="H17"/>
  <c r="A19" l="1"/>
  <c r="I18"/>
  <c r="L18"/>
  <c r="H18"/>
  <c r="K18"/>
  <c r="J18"/>
  <c r="G18"/>
  <c r="K19" l="1"/>
  <c r="G19"/>
  <c r="J19"/>
  <c r="I19"/>
  <c r="H19"/>
  <c r="A20"/>
  <c r="L19"/>
  <c r="A21" l="1"/>
  <c r="I20"/>
  <c r="L20"/>
  <c r="H20"/>
  <c r="G20"/>
  <c r="K20"/>
  <c r="J20"/>
  <c r="K21" l="1"/>
  <c r="G21"/>
  <c r="J21"/>
  <c r="A22"/>
  <c r="L21"/>
  <c r="I21"/>
  <c r="H21"/>
  <c r="A23" l="1"/>
  <c r="I22"/>
  <c r="L22"/>
  <c r="H22"/>
  <c r="K22"/>
  <c r="J22"/>
  <c r="G22"/>
  <c r="K23" l="1"/>
  <c r="G23"/>
  <c r="J23"/>
  <c r="I23"/>
  <c r="H23"/>
  <c r="A24"/>
  <c r="L23"/>
  <c r="A25" l="1"/>
  <c r="I24"/>
  <c r="L24"/>
  <c r="H24"/>
  <c r="G24"/>
  <c r="K24"/>
  <c r="J24"/>
  <c r="K25" l="1"/>
  <c r="G25"/>
  <c r="J25"/>
  <c r="A26"/>
  <c r="L25"/>
  <c r="I25"/>
  <c r="H25"/>
  <c r="A27" l="1"/>
  <c r="I26"/>
  <c r="L26"/>
  <c r="H26"/>
  <c r="K26"/>
  <c r="J26"/>
  <c r="G26"/>
  <c r="K27" l="1"/>
  <c r="G27"/>
  <c r="J27"/>
  <c r="I27"/>
  <c r="H27"/>
  <c r="A28"/>
  <c r="L27"/>
  <c r="A29" l="1"/>
  <c r="I28"/>
  <c r="L28"/>
  <c r="H28"/>
  <c r="G28"/>
  <c r="K28"/>
  <c r="J28"/>
  <c r="K29" l="1"/>
  <c r="G29"/>
  <c r="J29"/>
  <c r="A30"/>
  <c r="L29"/>
  <c r="I29"/>
  <c r="H29"/>
  <c r="A31" l="1"/>
  <c r="I30"/>
  <c r="L30"/>
  <c r="H30"/>
  <c r="K30"/>
  <c r="J30"/>
  <c r="G30"/>
  <c r="K31" l="1"/>
  <c r="G31"/>
  <c r="J31"/>
  <c r="I31"/>
  <c r="H31"/>
  <c r="A32"/>
  <c r="L31"/>
  <c r="A33" l="1"/>
  <c r="I32"/>
  <c r="L32"/>
  <c r="H32"/>
  <c r="G32"/>
  <c r="K32"/>
  <c r="J32"/>
  <c r="L33" l="1"/>
  <c r="H33"/>
  <c r="I33"/>
  <c r="A34"/>
  <c r="K33"/>
  <c r="J33"/>
  <c r="G33"/>
  <c r="A35" l="1"/>
  <c r="I34"/>
  <c r="K34"/>
  <c r="L34"/>
  <c r="H34"/>
  <c r="G34"/>
  <c r="J34"/>
  <c r="L35" l="1"/>
  <c r="H35"/>
  <c r="I35"/>
  <c r="A36"/>
  <c r="J35"/>
  <c r="K35"/>
  <c r="G35"/>
  <c r="A37" l="1"/>
  <c r="J36"/>
  <c r="K36"/>
  <c r="I36"/>
  <c r="L36"/>
  <c r="H36"/>
  <c r="G36"/>
  <c r="K37" l="1"/>
  <c r="G37"/>
  <c r="H37"/>
  <c r="A38"/>
  <c r="I37"/>
  <c r="L37"/>
  <c r="J37"/>
  <c r="A39" l="1"/>
  <c r="I38"/>
  <c r="J38"/>
  <c r="H38"/>
  <c r="K38"/>
  <c r="G38"/>
  <c r="L38"/>
  <c r="K39" l="1"/>
  <c r="G39"/>
  <c r="H39"/>
  <c r="A40"/>
  <c r="I39"/>
  <c r="L39"/>
  <c r="J39"/>
  <c r="A41" l="1"/>
  <c r="J40"/>
  <c r="K40"/>
  <c r="I40"/>
  <c r="L40"/>
  <c r="H40"/>
  <c r="G40"/>
  <c r="I41" l="1"/>
  <c r="L41"/>
  <c r="H41"/>
  <c r="K41"/>
  <c r="A42"/>
  <c r="J41"/>
  <c r="G41"/>
  <c r="A43" l="1"/>
  <c r="I42"/>
  <c r="L42"/>
  <c r="H42"/>
  <c r="K42"/>
  <c r="G42"/>
  <c r="J42"/>
  <c r="L43" l="1"/>
  <c r="H43"/>
  <c r="I43"/>
  <c r="A44"/>
  <c r="J43"/>
  <c r="K43"/>
  <c r="G43"/>
  <c r="A45" l="1"/>
  <c r="J44"/>
  <c r="K44"/>
  <c r="G44"/>
  <c r="L44"/>
  <c r="H44"/>
  <c r="I44"/>
  <c r="I45" l="1"/>
  <c r="A46"/>
  <c r="J45"/>
  <c r="K45"/>
  <c r="G45"/>
  <c r="L45"/>
  <c r="H45"/>
  <c r="A47" l="1"/>
  <c r="J46"/>
  <c r="K46"/>
  <c r="G46"/>
  <c r="L46"/>
  <c r="H46"/>
  <c r="I46"/>
  <c r="L47" l="1"/>
  <c r="H47"/>
  <c r="I47"/>
  <c r="A48"/>
  <c r="J47"/>
  <c r="K47"/>
  <c r="G47"/>
  <c r="A49" l="1"/>
  <c r="I48"/>
  <c r="L48"/>
  <c r="H48"/>
  <c r="K48"/>
  <c r="G48"/>
  <c r="J48"/>
  <c r="I49" l="1"/>
  <c r="A50"/>
  <c r="J49"/>
  <c r="K49"/>
  <c r="G49"/>
  <c r="L49"/>
  <c r="H49"/>
  <c r="A51" l="1"/>
  <c r="J50"/>
  <c r="K50"/>
  <c r="G50"/>
  <c r="L50"/>
  <c r="H50"/>
  <c r="I50"/>
  <c r="L51" l="1"/>
  <c r="H51"/>
  <c r="I51"/>
  <c r="A52"/>
  <c r="J51"/>
  <c r="K51"/>
  <c r="G51"/>
  <c r="A53" l="1"/>
  <c r="J52"/>
  <c r="K52"/>
  <c r="G52"/>
  <c r="L52"/>
  <c r="H52"/>
  <c r="I52"/>
  <c r="H8" i="1"/>
  <c r="I8" s="1"/>
  <c r="I12" s="1"/>
  <c r="I13" s="1"/>
  <c r="I15" s="1"/>
  <c r="I16" s="1"/>
  <c r="I18" s="1"/>
  <c r="I20" s="1"/>
  <c r="I53" i="2" l="1"/>
  <c r="A54"/>
  <c r="J53"/>
  <c r="K53"/>
  <c r="G53"/>
  <c r="L53"/>
  <c r="H53"/>
  <c r="A55" l="1"/>
  <c r="J54"/>
  <c r="K54"/>
  <c r="G54"/>
  <c r="L54"/>
  <c r="H54"/>
  <c r="I54"/>
  <c r="L55" l="1"/>
  <c r="H55"/>
  <c r="I55"/>
  <c r="A56"/>
  <c r="J55"/>
  <c r="K55"/>
  <c r="G55"/>
  <c r="A57" l="1"/>
  <c r="J56"/>
  <c r="K56"/>
  <c r="G56"/>
  <c r="L56"/>
  <c r="H56"/>
  <c r="I56"/>
  <c r="L57" l="1"/>
  <c r="H57"/>
  <c r="K57"/>
  <c r="G57"/>
  <c r="J57"/>
  <c r="A58"/>
  <c r="I57"/>
  <c r="A59" l="1"/>
  <c r="J58"/>
  <c r="K58"/>
  <c r="G58"/>
  <c r="L58"/>
  <c r="H58"/>
  <c r="I58"/>
  <c r="L59" l="1"/>
  <c r="H59"/>
  <c r="I59"/>
  <c r="A60"/>
  <c r="J59"/>
  <c r="K59"/>
  <c r="G59"/>
  <c r="A61" l="1"/>
  <c r="I60"/>
  <c r="L60"/>
  <c r="H60"/>
  <c r="K60"/>
  <c r="G60"/>
  <c r="J60"/>
  <c r="K61" l="1"/>
  <c r="A62"/>
  <c r="J61"/>
  <c r="G61"/>
  <c r="I61"/>
  <c r="L8" i="1" s="1"/>
  <c r="L61" i="2"/>
  <c r="H61"/>
  <c r="A63" l="1"/>
  <c r="I62"/>
  <c r="L62"/>
  <c r="H62"/>
  <c r="K62"/>
  <c r="G62"/>
  <c r="J62"/>
  <c r="K63" l="1"/>
  <c r="G63"/>
  <c r="J63"/>
  <c r="A64"/>
  <c r="I63"/>
  <c r="L63"/>
  <c r="H63"/>
  <c r="A65" l="1"/>
  <c r="I64"/>
  <c r="L64"/>
  <c r="H64"/>
  <c r="K64"/>
  <c r="G64"/>
  <c r="J64"/>
  <c r="L65" l="1"/>
  <c r="H65"/>
  <c r="K65"/>
  <c r="G65"/>
  <c r="J65"/>
  <c r="A66"/>
  <c r="I65"/>
  <c r="A67" l="1"/>
  <c r="J66"/>
  <c r="K66"/>
  <c r="G66"/>
  <c r="L66"/>
  <c r="H66"/>
  <c r="I66"/>
  <c r="L67" l="1"/>
  <c r="H67"/>
  <c r="I67"/>
  <c r="A68"/>
  <c r="J67"/>
  <c r="K67"/>
  <c r="G67"/>
  <c r="A69" l="1"/>
  <c r="J68"/>
  <c r="K68"/>
  <c r="G68"/>
  <c r="L68"/>
  <c r="H68"/>
  <c r="I68"/>
  <c r="J69" l="1"/>
  <c r="G69"/>
  <c r="K69"/>
  <c r="L69"/>
  <c r="H69"/>
  <c r="A70"/>
  <c r="I69"/>
  <c r="A71" l="1"/>
  <c r="J70"/>
  <c r="K70"/>
  <c r="G70"/>
  <c r="L70"/>
  <c r="H70"/>
  <c r="I70"/>
  <c r="L71" l="1"/>
  <c r="H71"/>
  <c r="I71"/>
  <c r="A72"/>
  <c r="J71"/>
  <c r="K71"/>
  <c r="G71"/>
  <c r="A73" l="1"/>
  <c r="J72"/>
  <c r="K72"/>
  <c r="G72"/>
  <c r="L72"/>
  <c r="H72"/>
  <c r="I72"/>
  <c r="K73" l="1"/>
  <c r="G73"/>
  <c r="L73"/>
  <c r="H73"/>
  <c r="A74"/>
  <c r="I73"/>
  <c r="J73"/>
  <c r="K74" l="1"/>
  <c r="G74"/>
  <c r="J74"/>
  <c r="A75"/>
  <c r="L74"/>
  <c r="I74"/>
  <c r="H74"/>
  <c r="A76" l="1"/>
  <c r="I75"/>
  <c r="L75"/>
  <c r="H75"/>
  <c r="K75"/>
  <c r="J75"/>
  <c r="G75"/>
  <c r="K76" l="1"/>
  <c r="G76"/>
  <c r="J76"/>
  <c r="I76"/>
  <c r="H76"/>
  <c r="A77"/>
  <c r="L76"/>
  <c r="L77" l="1"/>
  <c r="H77"/>
  <c r="K77"/>
  <c r="G77"/>
  <c r="A78"/>
  <c r="J77"/>
  <c r="I77"/>
  <c r="A79" l="1"/>
  <c r="J78"/>
  <c r="K78"/>
  <c r="G78"/>
  <c r="H78"/>
  <c r="L78"/>
  <c r="I78"/>
  <c r="K79" l="1"/>
  <c r="G79"/>
  <c r="J79"/>
  <c r="A80"/>
  <c r="L79"/>
  <c r="I79"/>
  <c r="H79"/>
  <c r="A81" l="1"/>
  <c r="J80"/>
  <c r="K80"/>
  <c r="G80"/>
  <c r="L80"/>
  <c r="I80"/>
  <c r="H80"/>
  <c r="K81" l="1"/>
  <c r="A82"/>
  <c r="J81"/>
  <c r="I81"/>
  <c r="H81"/>
  <c r="G81"/>
  <c r="L81"/>
  <c r="A83" l="1"/>
  <c r="I82"/>
  <c r="L82"/>
  <c r="H82"/>
  <c r="G82"/>
  <c r="K82"/>
  <c r="J82"/>
  <c r="L83" l="1"/>
  <c r="H83"/>
  <c r="I83"/>
  <c r="A84"/>
  <c r="K83"/>
  <c r="J83"/>
  <c r="G83"/>
  <c r="A85" l="1"/>
  <c r="J84"/>
  <c r="K84"/>
  <c r="G84"/>
  <c r="L84"/>
  <c r="I84"/>
  <c r="H84"/>
  <c r="J85" l="1"/>
  <c r="A86"/>
  <c r="I85"/>
  <c r="H85"/>
  <c r="G85"/>
  <c r="L85"/>
  <c r="K85"/>
  <c r="A87" l="1"/>
  <c r="J86"/>
  <c r="K86"/>
  <c r="G86"/>
  <c r="H86"/>
  <c r="L86"/>
  <c r="I86"/>
  <c r="L87" l="1"/>
  <c r="H87"/>
  <c r="I87"/>
  <c r="A88"/>
  <c r="K87"/>
  <c r="J87"/>
  <c r="G87"/>
  <c r="A89" l="1"/>
  <c r="I88"/>
  <c r="L88"/>
  <c r="H88"/>
  <c r="K88"/>
  <c r="J88"/>
  <c r="G88"/>
  <c r="I89" l="1"/>
  <c r="A90"/>
  <c r="J89"/>
  <c r="G89"/>
  <c r="H89"/>
  <c r="K89"/>
  <c r="L89"/>
  <c r="A91" l="1"/>
  <c r="I90"/>
  <c r="L90"/>
  <c r="H90"/>
  <c r="G90"/>
  <c r="K90"/>
  <c r="J90"/>
  <c r="K91" l="1"/>
  <c r="G91"/>
  <c r="J91"/>
  <c r="A92"/>
  <c r="L91"/>
  <c r="I91"/>
  <c r="H91"/>
  <c r="A93" l="1"/>
  <c r="J92"/>
  <c r="K92"/>
  <c r="G92"/>
  <c r="L92"/>
  <c r="I92"/>
  <c r="H92"/>
  <c r="J93" l="1"/>
  <c r="A94"/>
  <c r="I93"/>
  <c r="H93"/>
  <c r="G93"/>
  <c r="L93"/>
  <c r="K93"/>
  <c r="A95" l="1"/>
  <c r="I94"/>
  <c r="L94"/>
  <c r="H94"/>
  <c r="K94"/>
  <c r="G94"/>
  <c r="J94"/>
  <c r="K95" l="1"/>
  <c r="G95"/>
  <c r="J95"/>
  <c r="A96"/>
  <c r="I95"/>
  <c r="L95"/>
  <c r="H95"/>
  <c r="A97" l="1"/>
  <c r="I96"/>
  <c r="L96"/>
  <c r="H96"/>
  <c r="K96"/>
  <c r="G96"/>
  <c r="J96"/>
  <c r="I97" l="1"/>
  <c r="A98"/>
  <c r="J97"/>
  <c r="K97"/>
  <c r="G97"/>
  <c r="L97"/>
  <c r="H97"/>
  <c r="A99" l="1"/>
  <c r="J98"/>
  <c r="K98"/>
  <c r="G98"/>
  <c r="L98"/>
  <c r="H98"/>
  <c r="I98"/>
  <c r="I99" l="1"/>
  <c r="A100"/>
  <c r="L99"/>
  <c r="K99"/>
  <c r="G99"/>
  <c r="J99"/>
  <c r="H99"/>
  <c r="A101" l="1"/>
  <c r="I100"/>
  <c r="L100"/>
  <c r="J100"/>
  <c r="K100"/>
  <c r="G100"/>
  <c r="H100"/>
  <c r="I101" l="1"/>
  <c r="J101"/>
  <c r="H101"/>
  <c r="K101"/>
  <c r="G101"/>
  <c r="L101"/>
  <c r="L22" i="1"/>
  <c r="L1" s="1"/>
  <c r="E22"/>
  <c r="F22" s="1"/>
  <c r="I22"/>
  <c r="I23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B2" l="1"/>
</calcChain>
</file>

<file path=xl/sharedStrings.xml><?xml version="1.0" encoding="utf-8"?>
<sst xmlns="http://schemas.openxmlformats.org/spreadsheetml/2006/main" count="546" uniqueCount="247">
  <si>
    <t>Tech Level</t>
  </si>
  <si>
    <t>Tonnage</t>
  </si>
  <si>
    <t xml:space="preserve">Internal Superstructure:  </t>
  </si>
  <si>
    <t>IS</t>
  </si>
  <si>
    <t>Mech Name:</t>
  </si>
  <si>
    <t>Cost$:</t>
  </si>
  <si>
    <t>Tech Level:</t>
  </si>
  <si>
    <t>Tonnage:</t>
  </si>
  <si>
    <t>Left</t>
  </si>
  <si>
    <t xml:space="preserve">Tonnage </t>
  </si>
  <si>
    <t>Criticals</t>
  </si>
  <si>
    <t>Use</t>
  </si>
  <si>
    <t>Slots open:</t>
  </si>
  <si>
    <t>Cost</t>
  </si>
  <si>
    <t>Omni-Mech:</t>
  </si>
  <si>
    <t>No</t>
  </si>
  <si>
    <t>XL</t>
  </si>
  <si>
    <t>Rating:</t>
  </si>
  <si>
    <t>Normal</t>
  </si>
  <si>
    <t>XXL</t>
  </si>
  <si>
    <t>ICE</t>
  </si>
  <si>
    <t>CT</t>
  </si>
  <si>
    <t>L/R Torso</t>
  </si>
  <si>
    <t>Arms</t>
  </si>
  <si>
    <t>Legs</t>
  </si>
  <si>
    <t>Rating</t>
  </si>
  <si>
    <t>Light</t>
  </si>
  <si>
    <t>Compact</t>
  </si>
  <si>
    <t>Walking:</t>
  </si>
  <si>
    <t>Super Charger (Yes/No):</t>
  </si>
  <si>
    <t>Sprinting</t>
  </si>
  <si>
    <t>BV Base</t>
  </si>
  <si>
    <t>Max Armor</t>
  </si>
  <si>
    <t>Jumping Jets:</t>
  </si>
  <si>
    <t>Jump Boosters</t>
  </si>
  <si>
    <t>Needing Placement</t>
  </si>
  <si>
    <t>Clan</t>
  </si>
  <si>
    <t>Slots</t>
  </si>
  <si>
    <t>Tech Class (IS, Clan):</t>
  </si>
  <si>
    <t>Total Armor Points</t>
  </si>
  <si>
    <t>cost</t>
  </si>
  <si>
    <t>Stealth</t>
  </si>
  <si>
    <t>Internals</t>
  </si>
  <si>
    <t>Max Value</t>
  </si>
  <si>
    <t>Head</t>
  </si>
  <si>
    <t>Left Torso</t>
  </si>
  <si>
    <t>Right Torso</t>
  </si>
  <si>
    <t>Left Torso Rear</t>
  </si>
  <si>
    <t>Right Torso Rear</t>
  </si>
  <si>
    <t>Actual</t>
  </si>
  <si>
    <t>Armor Value</t>
  </si>
  <si>
    <t>Left to use</t>
  </si>
  <si>
    <t>Name</t>
  </si>
  <si>
    <t>Weight</t>
  </si>
  <si>
    <t>BV</t>
  </si>
  <si>
    <t>Tech level</t>
  </si>
  <si>
    <t>Small Laser</t>
  </si>
  <si>
    <t>Medium Laser</t>
  </si>
  <si>
    <t>Large Laser</t>
  </si>
  <si>
    <t>ER Small Laser</t>
  </si>
  <si>
    <t>ER Medium Laser</t>
  </si>
  <si>
    <t>ER Large Laser</t>
  </si>
  <si>
    <t>PPC</t>
  </si>
  <si>
    <t>ER PPC</t>
  </si>
  <si>
    <t>SRM-2</t>
  </si>
  <si>
    <t>SRM-4</t>
  </si>
  <si>
    <t>SRM-6</t>
  </si>
  <si>
    <t>Streaks-SRM2</t>
  </si>
  <si>
    <t>Streaks-SRM4</t>
  </si>
  <si>
    <t>Streaks-SRM6</t>
  </si>
  <si>
    <t>ER PPC w/Caps</t>
  </si>
  <si>
    <t>PPC w/Caps</t>
  </si>
  <si>
    <t>LRM-10</t>
  </si>
  <si>
    <t>LRM-15</t>
  </si>
  <si>
    <t>LRM-20</t>
  </si>
  <si>
    <t>MRM-10</t>
  </si>
  <si>
    <t>MRM-20</t>
  </si>
  <si>
    <t>MRM-30</t>
  </si>
  <si>
    <t>MRM-40</t>
  </si>
  <si>
    <t>Rocket Launcher 10</t>
  </si>
  <si>
    <t>Rocket Launcher 15</t>
  </si>
  <si>
    <t>Rocket Launcher 20</t>
  </si>
  <si>
    <t>Flamer</t>
  </si>
  <si>
    <t>Flamer (Ammo 20)</t>
  </si>
  <si>
    <t>Flamer (Vehicle)</t>
  </si>
  <si>
    <t>SRM-4 (Ammo 25)</t>
  </si>
  <si>
    <t>SRM-2 (Ammo 50)</t>
  </si>
  <si>
    <t>SRM-6  (Ammo 15)</t>
  </si>
  <si>
    <t>Streaks-SRM4 (Ammo 25)</t>
  </si>
  <si>
    <t>Streaks-SRM2 (Ammo 50)</t>
  </si>
  <si>
    <t>Streaks-SRM6 (Ammo 15)</t>
  </si>
  <si>
    <t>LRM-10 (Ammo 12)</t>
  </si>
  <si>
    <t>LRM-15 (Ammo 8)</t>
  </si>
  <si>
    <t>LRM-20 (Ammo 6)</t>
  </si>
  <si>
    <t>MRM-10 (Ammo 24)</t>
  </si>
  <si>
    <t>MRM-30 (Ammo 8)</t>
  </si>
  <si>
    <t>MRM-20 (Ammo 12)</t>
  </si>
  <si>
    <t>MRM-40 (Ammo 6)</t>
  </si>
  <si>
    <t>AC-10 (Ammo 10)</t>
  </si>
  <si>
    <t>Ultra AC-10 (Ammo 10)</t>
  </si>
  <si>
    <t>Ultra AC-20 (Ammo 5)</t>
  </si>
  <si>
    <t>LB-X 10 (Ammo 10 Cluster)</t>
  </si>
  <si>
    <t>LB-X 20 (Ammo 5 Cluster)</t>
  </si>
  <si>
    <t>LB-X 10 (Ammo 10 Slug)</t>
  </si>
  <si>
    <t>LB-X 20 (Ammo 5 Slug)</t>
  </si>
  <si>
    <t>Ammo</t>
  </si>
  <si>
    <t>Laser</t>
  </si>
  <si>
    <t>Missile</t>
  </si>
  <si>
    <t>Other</t>
  </si>
  <si>
    <t>Type</t>
  </si>
  <si>
    <t>AC- 2 (Ammo 45)</t>
  </si>
  <si>
    <t>AC- 5 (Ammo 20)</t>
  </si>
  <si>
    <t>Auto1</t>
  </si>
  <si>
    <t>Auto3</t>
  </si>
  <si>
    <t>Auto0</t>
  </si>
  <si>
    <t>Auto2</t>
  </si>
  <si>
    <t>Yes</t>
  </si>
  <si>
    <t>Single</t>
  </si>
  <si>
    <t>Number</t>
  </si>
  <si>
    <t>Location</t>
  </si>
  <si>
    <t>Check</t>
  </si>
  <si>
    <t>Running:</t>
  </si>
  <si>
    <t>M.A.S.C. (Yes/No):</t>
  </si>
  <si>
    <t>Autou0</t>
  </si>
  <si>
    <t>Autox0</t>
  </si>
  <si>
    <t>Autou1</t>
  </si>
  <si>
    <t>Autox1</t>
  </si>
  <si>
    <t>Autou2</t>
  </si>
  <si>
    <t>Autox2</t>
  </si>
  <si>
    <t>Autou3</t>
  </si>
  <si>
    <t>Autox3</t>
  </si>
  <si>
    <t>Large Pulse</t>
  </si>
  <si>
    <t>Medium Pulse</t>
  </si>
  <si>
    <t>Small Pulse</t>
  </si>
  <si>
    <t>X-Large Pulse</t>
  </si>
  <si>
    <t>X-Medium Pulse</t>
  </si>
  <si>
    <t>X-Small Pulse</t>
  </si>
  <si>
    <t>Laser A.M.S.</t>
  </si>
  <si>
    <t>Gear</t>
  </si>
  <si>
    <t>Drop List</t>
  </si>
  <si>
    <t>Engines</t>
  </si>
  <si>
    <t>Armor</t>
  </si>
  <si>
    <t>Ferro-Fibrous</t>
  </si>
  <si>
    <t>Hardened</t>
  </si>
  <si>
    <t>Reactive</t>
  </si>
  <si>
    <t>Laser Reflective</t>
  </si>
  <si>
    <t>Heavy Ferro-Fibrous</t>
  </si>
  <si>
    <t>Light Ferro-Fibrous</t>
  </si>
  <si>
    <t>I.S.</t>
  </si>
  <si>
    <t>Endo-Steel</t>
  </si>
  <si>
    <t>Jump Jets</t>
  </si>
  <si>
    <t>Improved Jump Jets</t>
  </si>
  <si>
    <t>Heavy</t>
  </si>
  <si>
    <t>Gyro</t>
  </si>
  <si>
    <t>Style</t>
  </si>
  <si>
    <t>Bi-Ped</t>
  </si>
  <si>
    <t>Quad-Ped</t>
  </si>
  <si>
    <t>Gyro:</t>
  </si>
  <si>
    <t>Style of Mech:</t>
  </si>
  <si>
    <t>Double</t>
  </si>
  <si>
    <t>Heatsinks</t>
  </si>
  <si>
    <t>Heat sinks:</t>
  </si>
  <si>
    <t>Center Torso</t>
  </si>
  <si>
    <t>Center Torso Rear</t>
  </si>
  <si>
    <t>Torso-Mounted</t>
  </si>
  <si>
    <t>Small</t>
  </si>
  <si>
    <t>Standard</t>
  </si>
  <si>
    <t>Command Console</t>
  </si>
  <si>
    <t>Enhanced Imaging</t>
  </si>
  <si>
    <t>LB-X  2 (Ammo 45 Cluster)</t>
  </si>
  <si>
    <t>LB-X  2 (Ammo 45 Slug)</t>
  </si>
  <si>
    <t>LB-X  5 (Ammo 20 Cluster)</t>
  </si>
  <si>
    <t>LB-X  5 (Ammo 20 Slug)</t>
  </si>
  <si>
    <t>LRM- 5 (Ammo 24)</t>
  </si>
  <si>
    <t>Ultra AC- 2 (Ammo 45)</t>
  </si>
  <si>
    <t>Ultra AC- 5 (Ammo 20)</t>
  </si>
  <si>
    <t>AC-20 (Ammo 5)</t>
  </si>
  <si>
    <t>LRM- 5</t>
  </si>
  <si>
    <t>Cockpit:</t>
  </si>
  <si>
    <t>Cockpit types</t>
  </si>
  <si>
    <t>Targeting Computer</t>
  </si>
  <si>
    <t>Direct Fire</t>
  </si>
  <si>
    <t>DF value</t>
  </si>
  <si>
    <t>Type:</t>
  </si>
  <si>
    <t>Engine</t>
  </si>
  <si>
    <t>BV Ammo Penlaty</t>
  </si>
  <si>
    <t>C.A.S.E.</t>
  </si>
  <si>
    <t>C.A.S.E. II</t>
  </si>
  <si>
    <t>CASE</t>
  </si>
  <si>
    <t>RT</t>
  </si>
  <si>
    <t>LT</t>
  </si>
  <si>
    <t>LB-X 20 Auto-Cannon</t>
  </si>
  <si>
    <t>LB-X 10 Auto-Cannon</t>
  </si>
  <si>
    <t>AC-20 Auto-Cannon</t>
  </si>
  <si>
    <t>AC-5 Auto-Cannon</t>
  </si>
  <si>
    <t>AC-10 Auto-Cannon</t>
  </si>
  <si>
    <t>Ultra AC-10 Auto-Cannon</t>
  </si>
  <si>
    <t>Ultra AC-20 Auto-Cannon</t>
  </si>
  <si>
    <t>AC- 2 Auto-Cannon</t>
  </si>
  <si>
    <t>LB-X  2 Auto-Cannon</t>
  </si>
  <si>
    <t>Ultra AC- 2 Auto-Cannon</t>
  </si>
  <si>
    <t>Ultra AC- 5 Auto-Cannon</t>
  </si>
  <si>
    <t>LB-X  5 Auto-Cannon</t>
  </si>
  <si>
    <t>ER Micro Laser</t>
  </si>
  <si>
    <t>C3 Master</t>
  </si>
  <si>
    <t>C3 Slaver</t>
  </si>
  <si>
    <t>Guardian ECM Suite</t>
  </si>
  <si>
    <t>C3 Improved computer</t>
  </si>
  <si>
    <t>M.A.S.C.</t>
  </si>
  <si>
    <t>Hatch</t>
  </si>
  <si>
    <t>Sword</t>
  </si>
  <si>
    <t>TAG</t>
  </si>
  <si>
    <t>Melee</t>
  </si>
  <si>
    <t>Beagle Active Probe</t>
  </si>
  <si>
    <t>SRM-2 w/Artemis IV FCS</t>
  </si>
  <si>
    <t>SRM-4 w/Artemis IV FCS</t>
  </si>
  <si>
    <t>SRM-6  w/Artemis IV FCS</t>
  </si>
  <si>
    <t>LRM- 5  w/Artemis IV FCS</t>
  </si>
  <si>
    <t>LRM-10  w/Artemis IV FCS</t>
  </si>
  <si>
    <t>LRM-15  w/Artemis IV FCS</t>
  </si>
  <si>
    <t>LRM-20  w/Artemis IV FCS</t>
  </si>
  <si>
    <t>SRM-2 (Ammo 50)Artemis</t>
  </si>
  <si>
    <t>SRM-4 (Ammo 25)Artemis</t>
  </si>
  <si>
    <t>SRM-6  (Ammo 15)Artemis</t>
  </si>
  <si>
    <t>LRM- 5 (Ammo 24)Artemis</t>
  </si>
  <si>
    <t>LRM-10 (Ammo 12)Artemis</t>
  </si>
  <si>
    <t>LRM-15 (Ammo 8)Artemis</t>
  </si>
  <si>
    <t>LRM-20 (Ammo 6)Artemis</t>
  </si>
  <si>
    <t>Sword toonage</t>
  </si>
  <si>
    <t>Empty</t>
  </si>
  <si>
    <t>Ammo in arms</t>
  </si>
  <si>
    <t>Machine Gun</t>
  </si>
  <si>
    <t>Machine Gun (Ammo 100)</t>
  </si>
  <si>
    <t>Machine Gun (Ammo 200)</t>
  </si>
  <si>
    <t>Left Arm</t>
  </si>
  <si>
    <t>Anti-Missile System</t>
  </si>
  <si>
    <t>Anti-Missile System (ammo) 12</t>
  </si>
  <si>
    <t>Anti-Missile System (ammo) 24</t>
  </si>
  <si>
    <t>Internal Superstructure math</t>
  </si>
  <si>
    <t>Removed Hand</t>
  </si>
  <si>
    <t>Remove Lower Arm Actuator</t>
  </si>
  <si>
    <t>no</t>
  </si>
  <si>
    <t>Narc Missile Beacon</t>
  </si>
  <si>
    <t>Narc Missile Beacon Ammo (12)</t>
  </si>
  <si>
    <t>Right Arm</t>
  </si>
  <si>
    <t>BattleEscort</t>
  </si>
  <si>
    <t>large laser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</si>
</sst>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7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Fill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 shrinkToFit="1"/>
    </xf>
    <xf numFmtId="0" fontId="4" fillId="2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/>
    <xf numFmtId="3" fontId="0" fillId="0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shrinkToFit="1"/>
    </xf>
    <xf numFmtId="165" fontId="0" fillId="0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6"/>
  <sheetViews>
    <sheetView tabSelected="1" workbookViewId="0">
      <selection activeCell="T16" sqref="T16"/>
    </sheetView>
  </sheetViews>
  <sheetFormatPr defaultRowHeight="12.75"/>
  <cols>
    <col min="1" max="1" width="13.42578125" style="4" customWidth="1"/>
    <col min="2" max="2" width="21.85546875" style="2" customWidth="1"/>
    <col min="3" max="3" width="15.5703125" style="2" bestFit="1" customWidth="1"/>
    <col min="4" max="4" width="4.42578125" style="2" customWidth="1"/>
    <col min="5" max="5" width="18.5703125" style="2" customWidth="1"/>
    <col min="6" max="6" width="17.42578125" style="2" bestFit="1" customWidth="1"/>
    <col min="7" max="7" width="3.140625" style="2" bestFit="1" customWidth="1"/>
    <col min="8" max="8" width="8.7109375" style="2" customWidth="1"/>
    <col min="9" max="9" width="8.5703125" style="2" bestFit="1" customWidth="1"/>
    <col min="10" max="10" width="7.7109375" style="2" bestFit="1" customWidth="1"/>
    <col min="11" max="11" width="7.7109375" style="2" customWidth="1"/>
    <col min="12" max="12" width="13.85546875" style="18" bestFit="1" customWidth="1"/>
    <col min="13" max="13" width="9.7109375" style="5" bestFit="1" customWidth="1"/>
    <col min="14" max="14" width="8.140625" style="2" customWidth="1"/>
    <col min="15" max="25" width="9.140625" style="2"/>
    <col min="26" max="26" width="10.140625" style="2" bestFit="1" customWidth="1"/>
    <col min="27" max="27" width="6.85546875" style="2" bestFit="1" customWidth="1"/>
    <col min="28" max="30" width="6" style="2" bestFit="1" customWidth="1"/>
    <col min="31" max="31" width="8.42578125" style="2" bestFit="1" customWidth="1"/>
    <col min="32" max="32" width="12.7109375" style="2" bestFit="1" customWidth="1"/>
    <col min="33" max="35" width="13.85546875" style="2" bestFit="1" customWidth="1"/>
    <col min="36" max="36" width="11.140625" style="2" bestFit="1" customWidth="1"/>
    <col min="37" max="37" width="12.7109375" style="2" bestFit="1" customWidth="1"/>
    <col min="38" max="39" width="4" style="2" bestFit="1" customWidth="1"/>
    <col min="40" max="40" width="17.85546875" style="4" bestFit="1" customWidth="1"/>
    <col min="41" max="41" width="6" style="2" bestFit="1" customWidth="1"/>
    <col min="42" max="42" width="7" style="2" bestFit="1" customWidth="1"/>
    <col min="43" max="43" width="10.140625" style="2" bestFit="1" customWidth="1"/>
    <col min="44" max="44" width="10" style="2" bestFit="1" customWidth="1"/>
    <col min="45" max="45" width="9" style="2" bestFit="1" customWidth="1"/>
    <col min="46" max="50" width="9.140625" style="2"/>
    <col min="51" max="51" width="21.140625" style="4" customWidth="1"/>
    <col min="52" max="52" width="9.140625" style="2"/>
    <col min="53" max="53" width="18.42578125" style="15" customWidth="1"/>
    <col min="54" max="57" width="9.140625" style="2"/>
    <col min="58" max="58" width="19.28515625" style="2" customWidth="1"/>
    <col min="59" max="65" width="9.140625" style="23"/>
    <col min="66" max="16384" width="9.140625" style="2"/>
  </cols>
  <sheetData>
    <row r="1" spans="1:58">
      <c r="A1" s="4" t="s">
        <v>4</v>
      </c>
      <c r="B1" s="2" t="s">
        <v>245</v>
      </c>
      <c r="E1" s="1" t="s">
        <v>38</v>
      </c>
      <c r="F1" s="11" t="s">
        <v>3</v>
      </c>
      <c r="L1" s="18">
        <f>SUM(L3:L79)</f>
        <v>7692666.666666666</v>
      </c>
      <c r="AW1" s="2" t="s">
        <v>139</v>
      </c>
      <c r="AZ1" s="2" t="s">
        <v>140</v>
      </c>
      <c r="BA1" s="15" t="s">
        <v>141</v>
      </c>
      <c r="BB1" s="2" t="s">
        <v>148</v>
      </c>
      <c r="BC1" s="2" t="s">
        <v>150</v>
      </c>
      <c r="BD1" s="2" t="s">
        <v>153</v>
      </c>
      <c r="BE1" s="2" t="s">
        <v>154</v>
      </c>
      <c r="BF1" s="2" t="s">
        <v>160</v>
      </c>
    </row>
    <row r="2" spans="1:58">
      <c r="A2" s="4" t="s">
        <v>5</v>
      </c>
      <c r="B2" s="3">
        <f>SUM(L5:L354)*(1+(H4/100))</f>
        <v>8461933.333333334</v>
      </c>
      <c r="E2" s="1" t="s">
        <v>12</v>
      </c>
      <c r="F2" s="10">
        <f>47-SUM(J4:J300)</f>
        <v>18</v>
      </c>
      <c r="I2" s="2" t="s">
        <v>9</v>
      </c>
      <c r="J2" s="2" t="s">
        <v>10</v>
      </c>
      <c r="L2" s="18" t="s">
        <v>13</v>
      </c>
      <c r="M2" s="5" t="s">
        <v>0</v>
      </c>
      <c r="N2" s="2" t="s">
        <v>120</v>
      </c>
      <c r="O2" s="2" t="s">
        <v>54</v>
      </c>
    </row>
    <row r="3" spans="1:58">
      <c r="A3" s="4" t="s">
        <v>6</v>
      </c>
      <c r="B3" s="2">
        <f>+N3</f>
        <v>3</v>
      </c>
      <c r="E3" s="1" t="s">
        <v>14</v>
      </c>
      <c r="F3" s="11" t="s">
        <v>241</v>
      </c>
      <c r="I3" s="2" t="s">
        <v>8</v>
      </c>
      <c r="J3" s="2" t="s">
        <v>11</v>
      </c>
      <c r="N3" s="2">
        <f>IF(M3&lt;N4,N4,IF(M3&lt;M4,M4,IF(M3&lt;N4,N4,M3)))</f>
        <v>3</v>
      </c>
      <c r="AX3" s="2" t="s">
        <v>116</v>
      </c>
      <c r="AZ3" s="2" t="s">
        <v>27</v>
      </c>
      <c r="BA3" s="4" t="s">
        <v>18</v>
      </c>
      <c r="BB3" s="2" t="s">
        <v>18</v>
      </c>
      <c r="BC3" s="4" t="s">
        <v>150</v>
      </c>
      <c r="BD3" s="4" t="s">
        <v>18</v>
      </c>
      <c r="BE3" s="2" t="s">
        <v>155</v>
      </c>
      <c r="BF3" s="16" t="s">
        <v>117</v>
      </c>
    </row>
    <row r="4" spans="1:58">
      <c r="A4" s="4" t="s">
        <v>7</v>
      </c>
      <c r="E4" s="1" t="s">
        <v>158</v>
      </c>
      <c r="F4" s="11" t="s">
        <v>155</v>
      </c>
      <c r="H4" s="35">
        <v>10</v>
      </c>
      <c r="N4" s="2">
        <f>IF(M4&lt;N5,N5,IF(M4&lt;M5,M5,IF(M4&lt;N5,N5,M4)))</f>
        <v>3</v>
      </c>
      <c r="S4" s="37" t="s">
        <v>238</v>
      </c>
      <c r="T4" s="36"/>
      <c r="U4" s="36"/>
      <c r="AX4" s="2" t="s">
        <v>15</v>
      </c>
      <c r="AZ4" s="2" t="s">
        <v>26</v>
      </c>
      <c r="BA4" s="23" t="s">
        <v>142</v>
      </c>
      <c r="BB4" s="2" t="s">
        <v>149</v>
      </c>
      <c r="BC4" s="4" t="s">
        <v>151</v>
      </c>
      <c r="BD4" s="4" t="s">
        <v>27</v>
      </c>
      <c r="BE4" s="2" t="s">
        <v>156</v>
      </c>
      <c r="BF4" s="16" t="s">
        <v>159</v>
      </c>
    </row>
    <row r="5" spans="1:58">
      <c r="A5" s="4" t="s">
        <v>2</v>
      </c>
      <c r="C5" s="11" t="s">
        <v>149</v>
      </c>
      <c r="H5" s="2">
        <f>+U5</f>
        <v>0.5</v>
      </c>
      <c r="I5" s="2">
        <f>+H4-H5</f>
        <v>9.5</v>
      </c>
      <c r="J5" s="2">
        <f>IF($C$5="Endo-Steel",IF(F1="IS",14,IF(F1="Clan",7,"Tech Class Error")),0)</f>
        <v>14</v>
      </c>
      <c r="L5" s="18">
        <f>IF(C5="Endo-Steel",H4*1600,IF(C5="Composite",H4*1600,IF(C5="Reinforced",H4*6400,H4*400)))</f>
        <v>16000</v>
      </c>
      <c r="M5" s="5">
        <f>IF($C$5="Normal",1,IF($C$5="Reinforced",3,IF($C$5="Composite",3,IF($C$5="Endo-Steel",2,4))))</f>
        <v>2</v>
      </c>
      <c r="N5" s="2">
        <f>IF(M5&lt;N6,N6,IF(M5&lt;M6,M6,IF(M5&lt;N6,N6,M5)))</f>
        <v>3</v>
      </c>
      <c r="O5" s="27">
        <f>SUM(B26:B36)*P5</f>
        <v>9.5</v>
      </c>
      <c r="P5" s="28">
        <f>IF(C8="XL",IF(F1="Clan",1.125,0.75),IF(C8="Light",1.125,IF(C8="XXL",0.5,1.5)))</f>
        <v>0.5</v>
      </c>
      <c r="S5" s="36">
        <f>IF($C$5="Endo-Steel",$H$4/20,IF($C$5="Normal",$H$4/10,IF($C$5="Composite",$H$4/20,IF($C$5="Reinforced",$H$4/5))))</f>
        <v>0.5</v>
      </c>
      <c r="T5" s="36">
        <f>+INT(S5)</f>
        <v>0</v>
      </c>
      <c r="U5" s="38">
        <f>+IF(S5-T5=0.25,S5+0.25,IF(S5-T5=0.75,S5+0.25,S5))</f>
        <v>0.5</v>
      </c>
      <c r="AZ5" s="2" t="s">
        <v>18</v>
      </c>
      <c r="BA5" s="4" t="str">
        <f>IF($F$1="IS","Light Ferro-Fibrous",IF($F$1="Clan","Laser Reflective","  Tech Class Error"))</f>
        <v>Light Ferro-Fibrous</v>
      </c>
      <c r="BB5" s="2" t="str">
        <f>IF($F$1="Clan","Normal",IF($F$1="IS","Composite","Pick Tech Class"))</f>
        <v>Composite</v>
      </c>
      <c r="BD5" s="4" t="s">
        <v>152</v>
      </c>
      <c r="BF5" s="16" t="str">
        <f>IF($F$1="IS","Compact",IF($F$1="Clan","Laser","Tech Class?"))</f>
        <v>Compact</v>
      </c>
    </row>
    <row r="6" spans="1:58">
      <c r="A6" s="4" t="s">
        <v>178</v>
      </c>
      <c r="B6" s="11" t="s">
        <v>165</v>
      </c>
      <c r="F6" s="2" t="str">
        <f>IF($B$6="Standard","Standard",IF($B$6="Small","Small",IF($B$6="Torso-Mounted","Torso-Mounted","Error")))</f>
        <v>Small</v>
      </c>
      <c r="H6" s="2">
        <f>IF($B$6="Standard",3,IF($B$6="Small",2,IF($B$6="Torso-Mounted",4,"Error")))</f>
        <v>2</v>
      </c>
      <c r="I6" s="2">
        <f>+I5-H6</f>
        <v>7.5</v>
      </c>
      <c r="J6" s="2">
        <f>IF($B$6="Standard",0,IF($B$6="Small",-1,IF($B$6="Torso-Mounted",1,"Error")))</f>
        <v>-1</v>
      </c>
      <c r="L6" s="18">
        <f>IF($B$6="Standard",200000,IF($B$6="Small",175000,IF($B$6="Torso-Mounted",750000,1000000000000)))+50000</f>
        <v>225000</v>
      </c>
      <c r="M6" s="5">
        <f>IF($B$6="Standard",0,IF($B$6="Small",3,IF($B$6="Torso-Mounted",3,4)))</f>
        <v>3</v>
      </c>
      <c r="N6" s="2">
        <f t="shared" ref="N6:N69" si="0">IF(M6&lt;N7,N7,IF(M6&lt;M7,M7,IF(M6&lt;N7,N7,M6)))</f>
        <v>3</v>
      </c>
      <c r="O6" s="26">
        <f>IF($B$6="Standard",0,IF($B$6="Small",3,IF($B$6="Torso-Mounted",3,4)))</f>
        <v>3</v>
      </c>
      <c r="AX6" s="2" t="s">
        <v>36</v>
      </c>
      <c r="AZ6" s="2" t="s">
        <v>16</v>
      </c>
      <c r="BA6" s="4" t="str">
        <f>IF($F$1="IS","Heavy Ferro-Fibrous",IF($F$1="Clan","Reactive","  Tech Class Error"))</f>
        <v>Heavy Ferro-Fibrous</v>
      </c>
      <c r="BB6" s="2" t="str">
        <f>IF($F$1="Clan","Normal",IF($F$1="IS","Reinforced","Pick Tech Class"))</f>
        <v>Reinforced</v>
      </c>
      <c r="BD6" s="4" t="s">
        <v>16</v>
      </c>
    </row>
    <row r="7" spans="1:58">
      <c r="L7" s="24"/>
      <c r="N7" s="2">
        <f t="shared" si="0"/>
        <v>3</v>
      </c>
      <c r="T7" s="2">
        <f>+S5-T5</f>
        <v>0.5</v>
      </c>
      <c r="AX7" s="2" t="s">
        <v>3</v>
      </c>
      <c r="AZ7" s="2" t="s">
        <v>19</v>
      </c>
      <c r="BA7" s="4" t="str">
        <f>IF($F$1="IS","Laser Reflective",IF($F$1="Clan","Normal","  Tech Class Error"))</f>
        <v>Laser Reflective</v>
      </c>
    </row>
    <row r="8" spans="1:58">
      <c r="A8" s="4" t="s">
        <v>184</v>
      </c>
      <c r="B8" s="1" t="s">
        <v>183</v>
      </c>
      <c r="C8" s="11" t="s">
        <v>19</v>
      </c>
      <c r="E8" s="2" t="str">
        <f>IF(C9&gt;400,"Large  ","")</f>
        <v/>
      </c>
      <c r="F8" s="2" t="str">
        <f>IF(C8="Normal","Fusion",IF(C8="XL","Extra Light",IF(C8="XXL","Extra Extra Light",IF(C8="ICE","Internal Combustion Engine",IF(F1="IS",IF(C8="Compact","Compact",IF(C8="light","Light","Tech Error")),"Engine type Error")))))</f>
        <v>Extra Extra Light</v>
      </c>
      <c r="H8" s="2">
        <f>IF($C$8="Light",VLOOKUP($C$9,'Engine&amp;weapons'!$A$3:$L$101,3),IF($C$8="XL",VLOOKUP($C$9,'Engine&amp;weapons'!$A$3:$L$101,4),IF($C$8="XXL",VLOOKUP($C$9,'Engine&amp;weapons'!$A$3:$L$101,5),IF($C$8="Compact",VLOOKUP($C$9,'Engine&amp;weapons'!$A$3:$L$101,6),VLOOKUP($C$9,'Engine&amp;weapons'!$A$3:$L$101,2)))))</f>
        <v>4.5</v>
      </c>
      <c r="I8" s="2">
        <f>+I6-H8</f>
        <v>3</v>
      </c>
      <c r="J8" s="2">
        <f>IF(F1="IS",IF($C$8="XL",6,IF($C$8="XXL",12,IF($C$8="Compact",-3,0))),IF(F1="Clan",IF($C$8="XL",4,IF($C$8="XXL",8,0)),"Tech class Errer" ))</f>
        <v>12</v>
      </c>
      <c r="L8" s="18">
        <f>IF($C$8="Light",VLOOKUP($C$9,'Engine&amp;weapons'!$A$3:$L$101,8),IF($C$8="XL",VLOOKUP($C$9,'Engine&amp;weapons'!$A$3:$L$101,9),IF($C$8="XXL",VLOOKUP($C$9,'Engine&amp;weapons'!$A$3:$L$101,10),IF($C$8="Compact",VLOOKUP($C$9,'Engine&amp;weapons'!$A$3:$L$101,12),IF($C$8="ICE",VLOOKUP($C$9,'Engine&amp;weapons'!$A$3:$L$101,11),VLOOKUP($C$9,'Engine&amp;weapons'!$A$3:$L$101,7))))))</f>
        <v>3466666.6666666665</v>
      </c>
      <c r="M8" s="5">
        <f>IF($C$8="Light",3,IF($C$8="XL",2,IF($C$8="XXL",3,IF($C$8="C",3,IF($C$8="ICE",1,1)))))</f>
        <v>3</v>
      </c>
      <c r="N8" s="2">
        <f t="shared" si="0"/>
        <v>3</v>
      </c>
      <c r="BA8" s="4" t="str">
        <f>IF($F$1="IS","Reactive",IF($F$1="Clan","Normal","  Tech Class Error"))</f>
        <v>Reactive</v>
      </c>
    </row>
    <row r="9" spans="1:58">
      <c r="B9" s="1" t="s">
        <v>17</v>
      </c>
      <c r="C9" s="2">
        <f>IF((C10*H4)&gt;500,"Try Again",C10*H4)</f>
        <v>260</v>
      </c>
      <c r="D9" s="22" t="str">
        <f>IF(C9&gt;500,"Lower Your Speed down","")</f>
        <v/>
      </c>
      <c r="J9" s="2">
        <f>IF(C9&gt;400,2,0)</f>
        <v>0</v>
      </c>
      <c r="N9" s="2">
        <f t="shared" si="0"/>
        <v>3</v>
      </c>
      <c r="S9" s="36">
        <f>IF($C$5="Endo-Steel",$H$4/20,IF($C$5="Normal",$H$4/10,IF($C$5="Composite",$H$4/20,IF($C$5="Reinforced",$H$4/5))))</f>
        <v>0.5</v>
      </c>
      <c r="T9" s="2">
        <f>+INT(S9)</f>
        <v>0</v>
      </c>
      <c r="BA9" s="4" t="str">
        <f>IF($F$1="IS","Hardened",IF($F$1="Clan","Normal","  Tech Class Error"))</f>
        <v>Hardened</v>
      </c>
    </row>
    <row r="10" spans="1:58">
      <c r="B10" s="1" t="s">
        <v>28</v>
      </c>
      <c r="C10" s="11">
        <v>26</v>
      </c>
      <c r="E10" s="2" t="str">
        <f>+C10*10.8&amp;"Kph"</f>
        <v>280.8Kph</v>
      </c>
      <c r="N10" s="2">
        <f t="shared" si="0"/>
        <v>3</v>
      </c>
      <c r="T10" s="2">
        <f>+S9-T9</f>
        <v>0.5</v>
      </c>
      <c r="BA10" s="4" t="str">
        <f>IF($F$1="IS","Stealth",IF($F$1="Clan","Normal","  Tech Class Error"))</f>
        <v>Stealth</v>
      </c>
      <c r="BC10" s="2" t="s">
        <v>179</v>
      </c>
    </row>
    <row r="11" spans="1:58">
      <c r="B11" s="1" t="s">
        <v>121</v>
      </c>
      <c r="C11" s="2" t="str">
        <f>ROUND(C10*1.5,0)&amp;IF($C$15="Yes",IF($C$16="yes","("&amp;ROUNDDOWN($C$10*2.5,0)&amp;")","("&amp;$C$10*2&amp;")"),IF($C$16="yes","("&amp;$C$10*2&amp;")",""))</f>
        <v>39(65)</v>
      </c>
      <c r="D11" s="4"/>
      <c r="E11" s="2" t="str">
        <f>ROUND(C10*1.5,0)*10.8&amp;"Kph "&amp;IF($C$15="Yes",IF($C$16="yes","("&amp;ROUNDDOWN($C$10*2.5,0)*10.8&amp;"Kph"&amp;")","("&amp;$C$10*2*10.8&amp;"Kph"&amp;")"),IF($C$16="yes"," ("&amp;$C$10*2*10.8&amp;"Kph"&amp;")",""))</f>
        <v>421.2Kph (702Kph)</v>
      </c>
      <c r="N11" s="2">
        <f t="shared" si="0"/>
        <v>3</v>
      </c>
      <c r="T11" s="2">
        <f>+IF(S9-T9=0.25,S9+0.25,IF(S9-T9=0.75,S9+0.25,S9))</f>
        <v>0.5</v>
      </c>
      <c r="AN11" s="4">
        <v>1</v>
      </c>
      <c r="AO11" s="2">
        <v>2</v>
      </c>
      <c r="AP11" s="2">
        <v>3</v>
      </c>
      <c r="AQ11" s="2">
        <v>4</v>
      </c>
      <c r="AR11" s="2">
        <v>5</v>
      </c>
      <c r="AS11" s="2">
        <v>6</v>
      </c>
      <c r="AT11" s="2">
        <v>7</v>
      </c>
      <c r="BA11" s="4"/>
    </row>
    <row r="12" spans="1:58">
      <c r="A12" s="11">
        <v>0</v>
      </c>
      <c r="B12" s="1" t="s">
        <v>33</v>
      </c>
      <c r="C12" s="2">
        <f>+A12</f>
        <v>0</v>
      </c>
      <c r="E12" s="20" t="str">
        <f>IF($F$12="Jump Jets",IF($C$12&gt;$C$10,"Lower your Jump Jets to Walking",$C$12*10.8&amp;"kph"),IF($F$12="Improved Jump Jets",IF($C$12&gt;(ROUND($C$10*1.5,0)),"Lower Your Jump Jets to Running",$C$12*10.8&amp;"kph"),$C$12*10.8&amp;"kph"))</f>
        <v>0kph</v>
      </c>
      <c r="F12" s="39" t="s">
        <v>150</v>
      </c>
      <c r="G12" s="40"/>
      <c r="H12" s="2">
        <f>IF($F$12="Jump Jets",IF($H$4&lt;60,0.5*A12,IF($H$4&lt;90,1*A12,IF($H$4&lt;101,2*$A$12,"Mech over weight"))),IF(F12="Improved Jump Jets",IF($H$4&lt;60,1*$A$12,IF($H$4&lt;90,2*$A$12,IF($H$4&lt;101,4*$A$12,"Mech over weight"))),"Jump Jets Type?"))</f>
        <v>0</v>
      </c>
      <c r="I12" s="2">
        <f>+I8-H12</f>
        <v>3</v>
      </c>
      <c r="J12" s="2">
        <f>IF($F$12="Jump Jets",A$12*1,IF(F12="Improved Jump Jets",$A$12*2,"Mech over weight"))</f>
        <v>0</v>
      </c>
      <c r="L12" s="18">
        <f>IF(F12="jj",C12*C12*200,IF(F12="Improved Jump Jets",C12*C12*500,0))</f>
        <v>0</v>
      </c>
      <c r="N12" s="2">
        <f t="shared" si="0"/>
        <v>3</v>
      </c>
      <c r="AQ12" s="2" t="s">
        <v>3</v>
      </c>
      <c r="AR12" s="2" t="s">
        <v>36</v>
      </c>
      <c r="BC12" s="4" t="s">
        <v>165</v>
      </c>
    </row>
    <row r="13" spans="1:58">
      <c r="A13" s="11">
        <v>0</v>
      </c>
      <c r="B13" s="1" t="s">
        <v>34</v>
      </c>
      <c r="C13" s="2">
        <f>+A13</f>
        <v>0</v>
      </c>
      <c r="E13" s="20" t="str">
        <f>IF($C$13&gt;(ROUND($C$10*1.5,0)),"Lower Your Jump Jets to Running",$C$13*10.8&amp;"kph")</f>
        <v>0kph</v>
      </c>
      <c r="F13" s="2" t="str">
        <f>IF(A13&gt;0,"2RL/2LL","")</f>
        <v/>
      </c>
      <c r="H13" s="2">
        <f>+A13*H4*0.05</f>
        <v>0</v>
      </c>
      <c r="I13" s="2">
        <f>+I12-H13</f>
        <v>3</v>
      </c>
      <c r="J13" s="2">
        <f>IF(A13&gt;0,4,0)</f>
        <v>0</v>
      </c>
      <c r="L13" s="18">
        <f>+C13*C13*H4*150</f>
        <v>0</v>
      </c>
      <c r="N13" s="2">
        <f t="shared" si="0"/>
        <v>3</v>
      </c>
      <c r="AO13" s="2" t="s">
        <v>3</v>
      </c>
      <c r="AP13" s="2" t="s">
        <v>36</v>
      </c>
      <c r="AQ13" s="2" t="s">
        <v>37</v>
      </c>
      <c r="AR13" s="2" t="s">
        <v>37</v>
      </c>
      <c r="AS13" s="2" t="s">
        <v>40</v>
      </c>
      <c r="BC13" s="4" t="s">
        <v>166</v>
      </c>
    </row>
    <row r="14" spans="1:58">
      <c r="B14" s="1" t="s">
        <v>30</v>
      </c>
      <c r="C14" s="2" t="str">
        <f>+C10*2&amp;IF($C$15="Yes",IF($C$16="yes","("&amp;ROUNDDOWN($C$10*3,0)&amp;")","("&amp;ROUNDDOWN($C$10*2.5,0)&amp;")"),IF($C$16="yes","("&amp;ROUNDDOWN($C$10*2.5,0)&amp;")",""))</f>
        <v>52(78)</v>
      </c>
      <c r="D14" s="4"/>
      <c r="E14" s="2" t="str">
        <f>+C10*2*10.8&amp;"Kph"&amp;IF($C$15="Yes",IF($C$16="yes","("&amp;ROUNDDOWN($C$10*3,0)*10.8&amp;"Kph"&amp;")","("&amp;ROUNDDOWN($C$10*2.5,0)*10.8&amp;"Kph"&amp;")"),IF($C$16="yes","("&amp;ROUNDDOWN($C$10*2.5,0)*10.8&amp;"Kph"&amp;")",""))</f>
        <v>561.6Kph(842.4Kph)</v>
      </c>
      <c r="N14" s="2">
        <f t="shared" si="0"/>
        <v>3</v>
      </c>
      <c r="AN14" s="23" t="s">
        <v>142</v>
      </c>
      <c r="AO14" s="2">
        <f>16*1.12</f>
        <v>17.920000000000002</v>
      </c>
      <c r="AP14" s="2">
        <f>16*1.2</f>
        <v>19.2</v>
      </c>
      <c r="AQ14" s="2">
        <v>14</v>
      </c>
      <c r="AR14" s="2">
        <v>7</v>
      </c>
      <c r="AS14" s="2">
        <v>20000</v>
      </c>
      <c r="AT14" s="2">
        <v>2</v>
      </c>
      <c r="AW14" s="23"/>
      <c r="BC14" s="4" t="s">
        <v>164</v>
      </c>
    </row>
    <row r="15" spans="1:58">
      <c r="B15" s="1" t="s">
        <v>122</v>
      </c>
      <c r="C15" s="11" t="s">
        <v>116</v>
      </c>
      <c r="H15" s="2">
        <f>IF($C$15="yes",IF($F$1="IS",ROUNDUP($H$4/20,0),IF($F$1="Clan",ROUNDUP($H$4/25,0),"Tech Class Error")),0)</f>
        <v>1</v>
      </c>
      <c r="I15" s="2">
        <f>+I13-H15</f>
        <v>2</v>
      </c>
      <c r="J15" s="2">
        <f>IF($C$15="yes",IF($F$1="IS",ROUNDUP($H$4/20,0),IF($F$1="Clan",ROUNDUP($H$4/25,0),"Tech Class Error")),0)</f>
        <v>1</v>
      </c>
      <c r="L15" s="18">
        <f>IF(C15="yes",H15*C9*1000,0)</f>
        <v>260000</v>
      </c>
      <c r="N15" s="2">
        <f t="shared" si="0"/>
        <v>3</v>
      </c>
      <c r="AN15" s="4" t="s">
        <v>143</v>
      </c>
      <c r="AO15" s="2">
        <v>8</v>
      </c>
      <c r="AP15" s="2">
        <v>0</v>
      </c>
      <c r="AQ15" s="2">
        <v>0</v>
      </c>
      <c r="AR15" s="2">
        <v>0</v>
      </c>
      <c r="AS15" s="2">
        <v>15000</v>
      </c>
      <c r="AT15" s="2">
        <v>3</v>
      </c>
      <c r="AW15" s="23"/>
    </row>
    <row r="16" spans="1:58" ht="16.5" customHeight="1">
      <c r="B16" s="1" t="s">
        <v>29</v>
      </c>
      <c r="C16" s="11" t="s">
        <v>116</v>
      </c>
      <c r="H16" s="2">
        <f>IF(C16="Yes",H8/10,0)</f>
        <v>0.45</v>
      </c>
      <c r="I16" s="2">
        <f>+I15-H16</f>
        <v>1.55</v>
      </c>
      <c r="J16" s="6">
        <f>IF(C16="yes",1,0)</f>
        <v>1</v>
      </c>
      <c r="K16" s="6"/>
      <c r="L16" s="18">
        <f>IF(C16="yes",C9*10000,0)</f>
        <v>2600000</v>
      </c>
      <c r="M16" s="5">
        <f>IF(C16="yes",3,0)</f>
        <v>3</v>
      </c>
      <c r="N16" s="2">
        <f t="shared" si="0"/>
        <v>3</v>
      </c>
      <c r="AN16" s="4" t="s">
        <v>146</v>
      </c>
      <c r="AO16" s="2">
        <f>16*1.24</f>
        <v>19.84</v>
      </c>
      <c r="AP16" s="2">
        <v>0</v>
      </c>
      <c r="AQ16" s="2">
        <v>21</v>
      </c>
      <c r="AR16" s="2">
        <v>0</v>
      </c>
      <c r="AS16" s="2">
        <v>25000</v>
      </c>
      <c r="AT16" s="2">
        <v>3</v>
      </c>
      <c r="AW16" s="23"/>
    </row>
    <row r="17" spans="1:66">
      <c r="F17" s="2" t="s">
        <v>35</v>
      </c>
      <c r="N17" s="2">
        <f t="shared" si="0"/>
        <v>2</v>
      </c>
      <c r="AN17" s="4" t="s">
        <v>145</v>
      </c>
      <c r="AO17" s="2">
        <v>16</v>
      </c>
      <c r="AP17" s="2">
        <v>16</v>
      </c>
      <c r="AQ17" s="2">
        <v>10</v>
      </c>
      <c r="AR17" s="2">
        <v>5</v>
      </c>
      <c r="AS17" s="2">
        <v>30000</v>
      </c>
      <c r="AT17" s="2">
        <v>2</v>
      </c>
      <c r="AW17" s="23"/>
    </row>
    <row r="18" spans="1:66">
      <c r="A18" s="11">
        <v>0</v>
      </c>
      <c r="B18" s="16" t="s">
        <v>161</v>
      </c>
      <c r="C18" s="11" t="s">
        <v>117</v>
      </c>
      <c r="E18" s="18">
        <f>IF($C$18="Single",A18+10,IF($C$18="Double",(A18+10)&amp;"("&amp;(A18+10)*2&amp;")",IF($C$18="Compact",A18+10,IF($C$18="Laser",(A18+10)&amp;"("&amp;(A18+10)*2&amp;")","Heat sink type Error"))))</f>
        <v>10</v>
      </c>
      <c r="F18" s="2">
        <f>+IF((-ROUNDDOWN(C9/25,0)+10+A18)&lt;0,0,(-ROUNDDOWN(C9/25,0)+10+A18))</f>
        <v>0</v>
      </c>
      <c r="H18" s="10">
        <f>IF(C18="Compact",A18*1.5,A18)</f>
        <v>0</v>
      </c>
      <c r="I18" s="2">
        <f>+I16-H18</f>
        <v>1.55</v>
      </c>
      <c r="J18" s="2">
        <f>IF(F18&lt;0,0,IF(F1="IS",IF(C18="Double",3*F18,IF(C18="Compact",ROUND(0.5*F18,0),IF(C18="Single",1*F18,"Heat Sink Type Error"))),IF(F1="Clan",IF(C18="Double",2*F18,IF(C18="Laser",2*F18,IF(C18="Single",1*F18,"Heat Sink Type Error"))))))</f>
        <v>0</v>
      </c>
      <c r="L18" s="18">
        <f>IF($C$18="Single",A18*2000,IF($C$18="Double",(A18+10)*6000,IF($C$18="Compact",A18*3000,IF($C$18="Laser",(A18+10)*6000,"Heat sink type Error"))))</f>
        <v>0</v>
      </c>
      <c r="M18" s="5">
        <f>IF($C$18="Single",1,IF($C$18="Double",2,IF($C$18="Compact",3,IF($C$18="Laser",3,"Heat sink type Error"))))</f>
        <v>1</v>
      </c>
      <c r="N18" s="2">
        <f t="shared" si="0"/>
        <v>2</v>
      </c>
      <c r="AN18" s="4" t="s">
        <v>147</v>
      </c>
      <c r="AO18" s="2">
        <f>16*1.06</f>
        <v>16.96</v>
      </c>
      <c r="AP18" s="2">
        <v>0</v>
      </c>
      <c r="AQ18" s="2">
        <v>7</v>
      </c>
      <c r="AR18" s="2">
        <v>0</v>
      </c>
      <c r="AS18" s="2">
        <v>15000</v>
      </c>
      <c r="AT18" s="2">
        <v>3</v>
      </c>
      <c r="AW18" s="23"/>
    </row>
    <row r="19" spans="1:66">
      <c r="N19" s="2">
        <f t="shared" si="0"/>
        <v>2</v>
      </c>
      <c r="AN19" s="4" t="s">
        <v>18</v>
      </c>
      <c r="AO19" s="2">
        <v>16</v>
      </c>
      <c r="AP19" s="2">
        <v>16</v>
      </c>
      <c r="AQ19" s="2">
        <v>0</v>
      </c>
      <c r="AR19" s="2">
        <v>0</v>
      </c>
      <c r="AS19" s="2">
        <v>10000</v>
      </c>
      <c r="AT19" s="2">
        <v>1</v>
      </c>
      <c r="AW19" s="23"/>
    </row>
    <row r="20" spans="1:66">
      <c r="A20" s="4" t="s">
        <v>157</v>
      </c>
      <c r="C20" s="11" t="s">
        <v>16</v>
      </c>
      <c r="H20" s="2">
        <f>IF($C$20="Normal",ROUNDUP(C9/100,0),IF($C$20="Compact",ROUNDUP(C9/100,0)*1.5,IF($C$20="Heavy",ROUNDUP(C9/100,0)*2,IF($C$20="XL",ROUNDUP(C9/100,0)*0.5,"Gyro Type Error"))))</f>
        <v>1.5</v>
      </c>
      <c r="I20" s="2">
        <f>+I18-H20</f>
        <v>5.0000000000000044E-2</v>
      </c>
      <c r="J20" s="2">
        <f>IF($C$20="Normal",0,IF($C$20="Compact",-2,IF($C$20="Heavy",0,IF($C$20="XL",2,"Gyro Type Error"))))</f>
        <v>2</v>
      </c>
      <c r="L20" s="18">
        <f>IF($C$20="Normal",H20*300000,IF($C$20="Compact",H20*400000,IF($C$20="Heavy",H20*500000,IF($C$20="XL",H20*750000,"Gyro Type Error"))))</f>
        <v>1125000</v>
      </c>
      <c r="M20" s="5">
        <f>IF($C$20="Normal",1,IF($C$20="Compact",2,IF($C$20="Heavy",ROUNDUP(G9/100,0)*2,IF($C$20="XL",2,"Gyro Type Error"))))</f>
        <v>2</v>
      </c>
      <c r="N20" s="2">
        <f t="shared" si="0"/>
        <v>2</v>
      </c>
      <c r="AN20" s="4" t="s">
        <v>144</v>
      </c>
      <c r="AO20" s="2">
        <v>16</v>
      </c>
      <c r="AP20" s="2">
        <v>16</v>
      </c>
      <c r="AQ20" s="2">
        <v>14</v>
      </c>
      <c r="AR20" s="2">
        <v>7</v>
      </c>
      <c r="AS20" s="2">
        <v>30000</v>
      </c>
      <c r="AT20" s="2">
        <v>2</v>
      </c>
      <c r="AW20" s="23"/>
    </row>
    <row r="21" spans="1:66">
      <c r="E21" s="2" t="s">
        <v>39</v>
      </c>
      <c r="F21" s="2" t="s">
        <v>51</v>
      </c>
      <c r="N21" s="2">
        <f t="shared" si="0"/>
        <v>2</v>
      </c>
      <c r="AN21" s="13" t="s">
        <v>41</v>
      </c>
      <c r="AO21" s="2">
        <v>16</v>
      </c>
      <c r="AP21" s="2">
        <v>0</v>
      </c>
      <c r="AQ21" s="2">
        <v>12</v>
      </c>
      <c r="AR21" s="2">
        <v>0</v>
      </c>
      <c r="AS21" s="2">
        <v>50000</v>
      </c>
      <c r="AT21" s="2">
        <v>2</v>
      </c>
      <c r="AW21" s="23"/>
    </row>
    <row r="22" spans="1:66">
      <c r="A22" s="4" t="str">
        <f>"Armor: "&amp;VLOOKUP($C$22,AN14:AT21,1)</f>
        <v>Armor: Normal</v>
      </c>
      <c r="C22" s="11" t="s">
        <v>18</v>
      </c>
      <c r="E22" s="2">
        <f>IF($F$1="IS",ROUND(VLOOKUP($C$22,$AN$14:$AT$21,2)*$H$22,0),IF($F$1="clan",ROUND(VLOOKUP($C$22,$AN$14:$AT$21,3)*$H$22,0),"Tech Class Error"))</f>
        <v>0</v>
      </c>
      <c r="F22" s="2">
        <f>+E22-SUM(F26:F36)</f>
        <v>-85</v>
      </c>
      <c r="H22" s="2">
        <v>0</v>
      </c>
      <c r="I22" s="2">
        <f>+I20-H22</f>
        <v>5.0000000000000044E-2</v>
      </c>
      <c r="J22" s="2">
        <f>IF($F$1="IS",ROUND(VLOOKUP($C$22,$AN$14:$AT$21,4),0),IF($F$1="clan",ROUND(VLOOKUP($C$22,$AN$14:$AT$21,5),0),"Tech Class Error"))</f>
        <v>0</v>
      </c>
      <c r="L22" s="18">
        <f>IF($F$1="IS",ROUND(VLOOKUP($C$22,$AN$14:$AT$21,6)*$H$22,0),IF($F$1="clan",ROUND(VLOOKUP($C$22,$AN$14:$AT$21,6)*$H$22,0),"Tech Class Error"))</f>
        <v>0</v>
      </c>
      <c r="M22" s="5">
        <f>VLOOKUP($C$22,AN14:AT23,7)</f>
        <v>1</v>
      </c>
      <c r="N22" s="2">
        <f t="shared" si="0"/>
        <v>2</v>
      </c>
    </row>
    <row r="23" spans="1:66">
      <c r="A23" s="2"/>
      <c r="F23" s="2">
        <f>IF($F$1="IS",IF($C$22="Stealth","Guardian ECM suite",0),"")</f>
        <v>0</v>
      </c>
      <c r="H23" s="2">
        <f>IF($F$1="IS",IF($C$22="Stealth",1.5,0),0)</f>
        <v>0</v>
      </c>
      <c r="I23" s="2">
        <f>+I22-H23</f>
        <v>5.0000000000000044E-2</v>
      </c>
      <c r="J23" s="2">
        <f>IF($F$1="IS",IF($C$22="Stealth",2,0),0)</f>
        <v>0</v>
      </c>
      <c r="L23" s="18">
        <f>IF($F$1="IS",IF($C$22="Stealth",200000,0),0)</f>
        <v>0</v>
      </c>
      <c r="M23" s="5">
        <f>IF($F$1="IS",IF($C$22="Stealth",2,0),0)</f>
        <v>0</v>
      </c>
      <c r="N23" s="2">
        <f t="shared" si="0"/>
        <v>2</v>
      </c>
      <c r="AP23" s="2" t="s">
        <v>3</v>
      </c>
      <c r="AX23" s="2" t="s">
        <v>36</v>
      </c>
    </row>
    <row r="24" spans="1:66">
      <c r="B24" s="2" t="s">
        <v>42</v>
      </c>
      <c r="E24" s="2" t="s">
        <v>43</v>
      </c>
      <c r="F24" s="2" t="s">
        <v>49</v>
      </c>
      <c r="N24" s="2">
        <f t="shared" si="0"/>
        <v>2</v>
      </c>
      <c r="AN24" s="19" t="s">
        <v>52</v>
      </c>
      <c r="AO24" s="20" t="s">
        <v>10</v>
      </c>
      <c r="AP24" s="20" t="s">
        <v>53</v>
      </c>
      <c r="AQ24" s="20" t="s">
        <v>13</v>
      </c>
      <c r="AR24" s="20" t="s">
        <v>54</v>
      </c>
      <c r="AS24" s="20" t="s">
        <v>55</v>
      </c>
      <c r="AT24" s="20" t="s">
        <v>109</v>
      </c>
      <c r="AU24" s="20" t="s">
        <v>181</v>
      </c>
      <c r="AV24" s="20"/>
      <c r="AW24" s="20"/>
      <c r="AX24" s="20"/>
      <c r="AY24" s="19" t="s">
        <v>52</v>
      </c>
      <c r="AZ24" s="20" t="s">
        <v>10</v>
      </c>
      <c r="BA24" s="20" t="s">
        <v>53</v>
      </c>
      <c r="BB24" s="20" t="s">
        <v>13</v>
      </c>
      <c r="BC24" s="20" t="s">
        <v>54</v>
      </c>
      <c r="BD24" s="20" t="s">
        <v>55</v>
      </c>
      <c r="BE24" s="20" t="s">
        <v>109</v>
      </c>
      <c r="BF24" s="20" t="s">
        <v>181</v>
      </c>
      <c r="BG24" s="19" t="s">
        <v>52</v>
      </c>
      <c r="BH24" s="20" t="s">
        <v>10</v>
      </c>
      <c r="BI24" s="20" t="s">
        <v>53</v>
      </c>
      <c r="BJ24" s="20" t="s">
        <v>13</v>
      </c>
      <c r="BK24" s="20" t="s">
        <v>54</v>
      </c>
      <c r="BL24" s="20" t="s">
        <v>55</v>
      </c>
      <c r="BM24" s="20" t="s">
        <v>109</v>
      </c>
      <c r="BN24" s="20" t="s">
        <v>181</v>
      </c>
    </row>
    <row r="25" spans="1:66">
      <c r="F25" s="2" t="s">
        <v>50</v>
      </c>
      <c r="N25" s="2">
        <f t="shared" si="0"/>
        <v>2</v>
      </c>
      <c r="AM25" s="2">
        <v>1</v>
      </c>
      <c r="AN25" s="4" t="s">
        <v>229</v>
      </c>
      <c r="AO25" s="2">
        <v>0</v>
      </c>
      <c r="AP25" s="15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X25" s="2">
        <v>1</v>
      </c>
      <c r="AY25" s="4" t="s">
        <v>229</v>
      </c>
      <c r="AZ25" s="2">
        <v>0</v>
      </c>
      <c r="BA25" s="15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3" t="str">
        <f t="shared" ref="BG25:BG41" si="1">IF($F$1="IS",AN26,IF($F$1="Clan",AY25,"Try agian"))</f>
        <v>AC- 2 (Ammo 45)</v>
      </c>
      <c r="BH25" s="23">
        <f t="shared" ref="BH25:BH41" si="2">IF($F$1="IS",AO26,IF($F$1="Clan",AZ25,"Try agian"))</f>
        <v>1</v>
      </c>
      <c r="BI25" s="23">
        <f t="shared" ref="BI25:BI41" si="3">IF($F$1="IS",AP26,IF($F$1="Clan",BA25,"Try agian"))</f>
        <v>1</v>
      </c>
      <c r="BJ25" s="23">
        <f t="shared" ref="BJ25:BJ41" si="4">IF($F$1="IS",AQ26,IF($F$1="Clan",BB25,"Try agian"))</f>
        <v>1000</v>
      </c>
      <c r="BK25" s="23">
        <f t="shared" ref="BK25:BK41" si="5">IF($F$1="IS",AR26,IF($F$1="Clan",BC25,"Try agian"))</f>
        <v>5</v>
      </c>
      <c r="BL25" s="23">
        <f t="shared" ref="BL25:BL41" si="6">IF($F$1="IS",AS26,IF($F$1="Clan",BD25,"Try agian"))</f>
        <v>1</v>
      </c>
      <c r="BM25" s="23" t="str">
        <f t="shared" ref="BM25:BM41" si="7">IF($F$1="IS",AT26,IF($F$1="Clan",BE25,"Try agian"))</f>
        <v>Ammo</v>
      </c>
      <c r="BN25" s="23">
        <f t="shared" ref="BN25:BN41" si="8">IF($F$1="IS",AU26,IF($F$1="Clan",BF25,"Try agian"))</f>
        <v>0</v>
      </c>
    </row>
    <row r="26" spans="1:66">
      <c r="A26" s="19" t="s">
        <v>44</v>
      </c>
      <c r="B26" s="2">
        <v>3</v>
      </c>
      <c r="E26" s="2">
        <v>9</v>
      </c>
      <c r="F26" s="11">
        <v>9</v>
      </c>
      <c r="N26" s="2">
        <f t="shared" si="0"/>
        <v>2</v>
      </c>
      <c r="AM26" s="2">
        <f>+AM25+1</f>
        <v>2</v>
      </c>
      <c r="AN26" s="4" t="s">
        <v>110</v>
      </c>
      <c r="AO26" s="2">
        <v>1</v>
      </c>
      <c r="AP26" s="2">
        <v>1</v>
      </c>
      <c r="AQ26" s="14">
        <v>1000</v>
      </c>
      <c r="AR26" s="2">
        <v>5</v>
      </c>
      <c r="AS26" s="2">
        <v>1</v>
      </c>
      <c r="AT26" s="2" t="s">
        <v>105</v>
      </c>
      <c r="AU26" s="2">
        <v>0</v>
      </c>
      <c r="AX26" s="2">
        <v>2</v>
      </c>
      <c r="AY26" s="4" t="s">
        <v>235</v>
      </c>
      <c r="AZ26" s="2">
        <v>1</v>
      </c>
      <c r="BA26" s="2">
        <v>0.5</v>
      </c>
      <c r="BB26" s="2">
        <v>100000</v>
      </c>
      <c r="BC26" s="2">
        <v>32</v>
      </c>
      <c r="BD26" s="2">
        <v>2</v>
      </c>
      <c r="BE26" s="2" t="s">
        <v>138</v>
      </c>
      <c r="BF26" s="2">
        <v>0</v>
      </c>
      <c r="BG26" s="23" t="str">
        <f t="shared" si="1"/>
        <v>AC- 2 Auto-Cannon</v>
      </c>
      <c r="BH26" s="23">
        <f t="shared" si="2"/>
        <v>1</v>
      </c>
      <c r="BI26" s="23">
        <f t="shared" si="3"/>
        <v>6</v>
      </c>
      <c r="BJ26" s="23">
        <f t="shared" si="4"/>
        <v>75000</v>
      </c>
      <c r="BK26" s="23">
        <f t="shared" si="5"/>
        <v>37</v>
      </c>
      <c r="BL26" s="23">
        <f t="shared" si="6"/>
        <v>1</v>
      </c>
      <c r="BM26" s="23" t="str">
        <f t="shared" si="7"/>
        <v>Auto0</v>
      </c>
      <c r="BN26" s="23">
        <f t="shared" si="8"/>
        <v>6</v>
      </c>
    </row>
    <row r="27" spans="1:66">
      <c r="A27" s="19" t="s">
        <v>162</v>
      </c>
      <c r="B27" s="2">
        <f>HLOOKUP($H$4,'Engine&amp;weapons'!$P$1:$AH$7,2)</f>
        <v>4</v>
      </c>
      <c r="E27" s="2">
        <f>+B27*2</f>
        <v>8</v>
      </c>
      <c r="F27" s="11">
        <v>20</v>
      </c>
      <c r="N27" s="2">
        <f t="shared" si="0"/>
        <v>2</v>
      </c>
      <c r="AM27" s="2">
        <f t="shared" ref="AM27:AM90" si="9">+AM26+1</f>
        <v>3</v>
      </c>
      <c r="AN27" s="4" t="s">
        <v>198</v>
      </c>
      <c r="AO27" s="2">
        <v>1</v>
      </c>
      <c r="AP27" s="2">
        <v>6</v>
      </c>
      <c r="AQ27" s="14">
        <v>75000</v>
      </c>
      <c r="AR27" s="2">
        <v>37</v>
      </c>
      <c r="AS27" s="2">
        <v>1</v>
      </c>
      <c r="AT27" s="2" t="s">
        <v>114</v>
      </c>
      <c r="AU27" s="2">
        <f>+AP27</f>
        <v>6</v>
      </c>
      <c r="AX27" s="2">
        <v>3</v>
      </c>
      <c r="AY27" s="4" t="s">
        <v>237</v>
      </c>
      <c r="AZ27" s="2">
        <v>1</v>
      </c>
      <c r="BA27" s="2">
        <v>1</v>
      </c>
      <c r="BB27" s="2">
        <v>2000</v>
      </c>
      <c r="BC27" s="2">
        <v>22</v>
      </c>
      <c r="BD27" s="2">
        <v>2</v>
      </c>
      <c r="BE27" s="2" t="s">
        <v>138</v>
      </c>
      <c r="BF27" s="2">
        <v>0</v>
      </c>
      <c r="BG27" s="23" t="str">
        <f t="shared" si="1"/>
        <v>AC- 5 (Ammo 20)</v>
      </c>
      <c r="BH27" s="23">
        <f t="shared" si="2"/>
        <v>1</v>
      </c>
      <c r="BI27" s="23">
        <f t="shared" si="3"/>
        <v>1</v>
      </c>
      <c r="BJ27" s="23">
        <f t="shared" si="4"/>
        <v>4500</v>
      </c>
      <c r="BK27" s="23">
        <f t="shared" si="5"/>
        <v>9</v>
      </c>
      <c r="BL27" s="23">
        <f t="shared" si="6"/>
        <v>1</v>
      </c>
      <c r="BM27" s="23" t="str">
        <f t="shared" si="7"/>
        <v>Ammo</v>
      </c>
      <c r="BN27" s="23">
        <f t="shared" si="8"/>
        <v>0</v>
      </c>
    </row>
    <row r="28" spans="1:66">
      <c r="A28" s="19" t="s">
        <v>163</v>
      </c>
      <c r="E28" s="2">
        <f>+B27*2-F27</f>
        <v>-12</v>
      </c>
      <c r="F28" s="11">
        <v>0</v>
      </c>
      <c r="N28" s="2">
        <f t="shared" si="0"/>
        <v>2</v>
      </c>
      <c r="AM28" s="2">
        <f t="shared" si="9"/>
        <v>4</v>
      </c>
      <c r="AN28" s="4" t="s">
        <v>111</v>
      </c>
      <c r="AO28" s="2">
        <v>1</v>
      </c>
      <c r="AP28" s="2">
        <v>1</v>
      </c>
      <c r="AQ28" s="14">
        <v>4500</v>
      </c>
      <c r="AR28" s="2">
        <v>9</v>
      </c>
      <c r="AS28" s="2">
        <v>1</v>
      </c>
      <c r="AT28" s="2" t="s">
        <v>105</v>
      </c>
      <c r="AU28" s="2">
        <v>0</v>
      </c>
      <c r="AX28" s="2">
        <v>4</v>
      </c>
      <c r="AY28" s="4" t="s">
        <v>168</v>
      </c>
      <c r="AZ28" s="2">
        <v>0</v>
      </c>
      <c r="BA28" s="15">
        <v>0</v>
      </c>
      <c r="BB28" s="2">
        <v>400000</v>
      </c>
      <c r="BC28" s="2">
        <f>SUM(O42:O82)*0.05</f>
        <v>0</v>
      </c>
      <c r="BD28" s="2">
        <v>3</v>
      </c>
      <c r="BE28" s="2" t="s">
        <v>138</v>
      </c>
      <c r="BF28" s="2">
        <v>0</v>
      </c>
      <c r="BG28" s="23" t="str">
        <f t="shared" si="1"/>
        <v>AC-10 (Ammo 10)</v>
      </c>
      <c r="BH28" s="23">
        <f t="shared" si="2"/>
        <v>1</v>
      </c>
      <c r="BI28" s="23">
        <f t="shared" si="3"/>
        <v>1</v>
      </c>
      <c r="BJ28" s="23">
        <f t="shared" si="4"/>
        <v>6000</v>
      </c>
      <c r="BK28" s="23">
        <f t="shared" si="5"/>
        <v>15</v>
      </c>
      <c r="BL28" s="23">
        <f t="shared" si="6"/>
        <v>1</v>
      </c>
      <c r="BM28" s="23" t="str">
        <f t="shared" si="7"/>
        <v>Ammo</v>
      </c>
      <c r="BN28" s="23">
        <f t="shared" si="8"/>
        <v>0</v>
      </c>
    </row>
    <row r="29" spans="1:66">
      <c r="A29" s="19" t="s">
        <v>45</v>
      </c>
      <c r="B29" s="2">
        <f>HLOOKUP($H$4,'Engine&amp;weapons'!$P$1:$AH$7,3)</f>
        <v>3</v>
      </c>
      <c r="E29" s="2">
        <f t="shared" ref="E29:E36" si="10">+B29*2</f>
        <v>6</v>
      </c>
      <c r="F29" s="11">
        <v>12</v>
      </c>
      <c r="N29" s="2">
        <f t="shared" si="0"/>
        <v>2</v>
      </c>
      <c r="AM29" s="2">
        <f t="shared" si="9"/>
        <v>5</v>
      </c>
      <c r="AN29" s="4" t="s">
        <v>98</v>
      </c>
      <c r="AO29" s="2">
        <v>1</v>
      </c>
      <c r="AP29" s="2">
        <v>1</v>
      </c>
      <c r="AQ29" s="14">
        <v>6000</v>
      </c>
      <c r="AR29" s="2">
        <v>15</v>
      </c>
      <c r="AS29" s="2">
        <v>1</v>
      </c>
      <c r="AT29" s="2" t="s">
        <v>105</v>
      </c>
      <c r="AU29" s="2">
        <v>0</v>
      </c>
      <c r="AX29" s="2">
        <v>5</v>
      </c>
      <c r="AY29" s="4" t="s">
        <v>61</v>
      </c>
      <c r="AZ29" s="2">
        <v>1</v>
      </c>
      <c r="BA29" s="2">
        <v>4</v>
      </c>
      <c r="BB29" s="14">
        <v>200000</v>
      </c>
      <c r="BC29" s="2">
        <v>249</v>
      </c>
      <c r="BD29" s="2">
        <v>2</v>
      </c>
      <c r="BE29" s="2" t="s">
        <v>106</v>
      </c>
      <c r="BF29" s="2">
        <v>4</v>
      </c>
      <c r="BG29" s="23" t="str">
        <f t="shared" si="1"/>
        <v>AC-10 Auto-Cannon</v>
      </c>
      <c r="BH29" s="23">
        <f t="shared" si="2"/>
        <v>7</v>
      </c>
      <c r="BI29" s="23">
        <f t="shared" si="3"/>
        <v>12</v>
      </c>
      <c r="BJ29" s="23">
        <f t="shared" si="4"/>
        <v>200000</v>
      </c>
      <c r="BK29" s="23">
        <f t="shared" si="5"/>
        <v>124</v>
      </c>
      <c r="BL29" s="23">
        <f t="shared" si="6"/>
        <v>1</v>
      </c>
      <c r="BM29" s="23" t="str">
        <f t="shared" si="7"/>
        <v>Auto2</v>
      </c>
      <c r="BN29" s="23">
        <f t="shared" si="8"/>
        <v>12</v>
      </c>
    </row>
    <row r="30" spans="1:66">
      <c r="A30" s="19" t="s">
        <v>47</v>
      </c>
      <c r="E30" s="2">
        <f>+B29*2-F29</f>
        <v>-6</v>
      </c>
      <c r="F30" s="11">
        <v>0</v>
      </c>
      <c r="N30" s="2">
        <f t="shared" si="0"/>
        <v>2</v>
      </c>
      <c r="AM30" s="2">
        <f t="shared" si="9"/>
        <v>6</v>
      </c>
      <c r="AN30" s="4" t="s">
        <v>195</v>
      </c>
      <c r="AO30" s="2">
        <v>7</v>
      </c>
      <c r="AP30" s="2">
        <v>12</v>
      </c>
      <c r="AQ30" s="14">
        <v>200000</v>
      </c>
      <c r="AR30" s="2">
        <v>124</v>
      </c>
      <c r="AS30" s="2">
        <v>1</v>
      </c>
      <c r="AT30" s="2" t="s">
        <v>115</v>
      </c>
      <c r="AU30" s="2">
        <f>+AP30</f>
        <v>12</v>
      </c>
      <c r="AX30" s="2">
        <v>6</v>
      </c>
      <c r="AY30" s="4" t="s">
        <v>60</v>
      </c>
      <c r="AZ30" s="2">
        <v>1</v>
      </c>
      <c r="BA30" s="2">
        <v>1</v>
      </c>
      <c r="BB30" s="14">
        <v>80000</v>
      </c>
      <c r="BC30" s="2">
        <v>108</v>
      </c>
      <c r="BD30" s="2">
        <v>2</v>
      </c>
      <c r="BE30" s="2" t="s">
        <v>106</v>
      </c>
      <c r="BF30" s="2">
        <v>1</v>
      </c>
      <c r="BG30" s="23" t="str">
        <f t="shared" si="1"/>
        <v>AC-20 (Ammo 5)</v>
      </c>
      <c r="BH30" s="23">
        <f t="shared" si="2"/>
        <v>1</v>
      </c>
      <c r="BI30" s="23">
        <f t="shared" si="3"/>
        <v>1</v>
      </c>
      <c r="BJ30" s="23">
        <f t="shared" si="4"/>
        <v>10000</v>
      </c>
      <c r="BK30" s="23">
        <f t="shared" si="5"/>
        <v>20</v>
      </c>
      <c r="BL30" s="23">
        <f t="shared" si="6"/>
        <v>1</v>
      </c>
      <c r="BM30" s="23" t="str">
        <f t="shared" si="7"/>
        <v>Ammo</v>
      </c>
      <c r="BN30" s="23">
        <f t="shared" si="8"/>
        <v>0</v>
      </c>
    </row>
    <row r="31" spans="1:66">
      <c r="A31" s="19" t="s">
        <v>46</v>
      </c>
      <c r="B31" s="2">
        <f>HLOOKUP($H$4,'Engine&amp;weapons'!$P$1:$AH$7,3)</f>
        <v>3</v>
      </c>
      <c r="E31" s="2">
        <f t="shared" si="10"/>
        <v>6</v>
      </c>
      <c r="F31" s="11">
        <v>12</v>
      </c>
      <c r="N31" s="2">
        <f t="shared" si="0"/>
        <v>2</v>
      </c>
      <c r="AM31" s="2">
        <f t="shared" si="9"/>
        <v>7</v>
      </c>
      <c r="AN31" s="4" t="s">
        <v>176</v>
      </c>
      <c r="AO31" s="2">
        <v>1</v>
      </c>
      <c r="AP31" s="2">
        <v>1</v>
      </c>
      <c r="AQ31" s="14">
        <v>10000</v>
      </c>
      <c r="AR31" s="2">
        <v>20</v>
      </c>
      <c r="AS31" s="2">
        <v>1</v>
      </c>
      <c r="AT31" s="2" t="s">
        <v>105</v>
      </c>
      <c r="AU31" s="2">
        <v>0</v>
      </c>
      <c r="AX31" s="2">
        <v>7</v>
      </c>
      <c r="AY31" s="4" t="s">
        <v>203</v>
      </c>
      <c r="AZ31" s="2">
        <v>1</v>
      </c>
      <c r="BA31" s="2">
        <v>0.25</v>
      </c>
      <c r="BB31" s="14">
        <v>10000</v>
      </c>
      <c r="BC31" s="2">
        <v>7</v>
      </c>
      <c r="BD31" s="2">
        <v>2</v>
      </c>
      <c r="BE31" s="2" t="s">
        <v>106</v>
      </c>
      <c r="BF31" s="2">
        <v>0.25</v>
      </c>
      <c r="BG31" s="23" t="str">
        <f t="shared" si="1"/>
        <v>AC-20 Auto-Cannon</v>
      </c>
      <c r="BH31" s="23">
        <f t="shared" si="2"/>
        <v>10</v>
      </c>
      <c r="BI31" s="23">
        <f t="shared" si="3"/>
        <v>14</v>
      </c>
      <c r="BJ31" s="23">
        <f t="shared" si="4"/>
        <v>300000</v>
      </c>
      <c r="BK31" s="23">
        <f t="shared" si="5"/>
        <v>178</v>
      </c>
      <c r="BL31" s="23">
        <f t="shared" si="6"/>
        <v>1</v>
      </c>
      <c r="BM31" s="23" t="str">
        <f t="shared" si="7"/>
        <v>Auto3</v>
      </c>
      <c r="BN31" s="23">
        <f t="shared" si="8"/>
        <v>14</v>
      </c>
    </row>
    <row r="32" spans="1:66">
      <c r="A32" s="19" t="s">
        <v>48</v>
      </c>
      <c r="E32" s="2">
        <f>+B31*2-F31</f>
        <v>-6</v>
      </c>
      <c r="F32" s="11">
        <v>0</v>
      </c>
      <c r="N32" s="2">
        <f t="shared" si="0"/>
        <v>2</v>
      </c>
      <c r="AM32" s="2">
        <f t="shared" si="9"/>
        <v>8</v>
      </c>
      <c r="AN32" s="4" t="s">
        <v>193</v>
      </c>
      <c r="AO32" s="2">
        <v>10</v>
      </c>
      <c r="AP32" s="2">
        <v>14</v>
      </c>
      <c r="AQ32" s="14">
        <v>300000</v>
      </c>
      <c r="AR32" s="2">
        <v>178</v>
      </c>
      <c r="AS32" s="2">
        <v>1</v>
      </c>
      <c r="AT32" s="2" t="s">
        <v>113</v>
      </c>
      <c r="AU32" s="2">
        <f>+AP32</f>
        <v>14</v>
      </c>
      <c r="AX32" s="2">
        <v>8</v>
      </c>
      <c r="AY32" s="4" t="s">
        <v>63</v>
      </c>
      <c r="AZ32" s="2">
        <v>2</v>
      </c>
      <c r="BA32" s="2">
        <v>6</v>
      </c>
      <c r="BB32" s="14">
        <v>300000</v>
      </c>
      <c r="BC32" s="2">
        <v>412</v>
      </c>
      <c r="BD32" s="2">
        <v>2</v>
      </c>
      <c r="BE32" s="2" t="s">
        <v>62</v>
      </c>
      <c r="BF32" s="2">
        <v>6</v>
      </c>
      <c r="BG32" s="23" t="str">
        <f t="shared" si="1"/>
        <v>AC-5 Auto-Cannon</v>
      </c>
      <c r="BH32" s="23">
        <f t="shared" si="2"/>
        <v>4</v>
      </c>
      <c r="BI32" s="23">
        <f t="shared" si="3"/>
        <v>8</v>
      </c>
      <c r="BJ32" s="23">
        <f t="shared" si="4"/>
        <v>125000</v>
      </c>
      <c r="BK32" s="23">
        <f t="shared" si="5"/>
        <v>70</v>
      </c>
      <c r="BL32" s="23">
        <f t="shared" si="6"/>
        <v>1</v>
      </c>
      <c r="BM32" s="23" t="str">
        <f t="shared" si="7"/>
        <v>Auto1</v>
      </c>
      <c r="BN32" s="23">
        <f t="shared" si="8"/>
        <v>8</v>
      </c>
    </row>
    <row r="33" spans="1:66">
      <c r="A33" s="19" t="str">
        <f>IF($F$4="Bi-ped","Left Arm",IF($F$4="Quad-Ped","Left Front Leg", "Error"))</f>
        <v>Left Arm</v>
      </c>
      <c r="B33" s="20">
        <f>IF($F$4="Bi-ped",HLOOKUP($H$4,'Engine&amp;weapons'!$P$1:$AH$7,4),IF($F$4="Quad-Ped",HLOOKUP($H$4,'Engine&amp;weapons'!$P$1:$AH$7,5), "Error"))</f>
        <v>1</v>
      </c>
      <c r="E33" s="2">
        <f t="shared" si="10"/>
        <v>2</v>
      </c>
      <c r="F33" s="11">
        <v>8</v>
      </c>
      <c r="J33" s="20">
        <f>IF($F$4="Bi-ped",0,IF($F$4="Quad-Ped",6, "Error"))</f>
        <v>0</v>
      </c>
      <c r="N33" s="2">
        <f t="shared" si="0"/>
        <v>2</v>
      </c>
      <c r="AM33" s="2">
        <f t="shared" si="9"/>
        <v>9</v>
      </c>
      <c r="AN33" s="4" t="s">
        <v>194</v>
      </c>
      <c r="AO33" s="2">
        <v>4</v>
      </c>
      <c r="AP33" s="2">
        <v>8</v>
      </c>
      <c r="AQ33" s="14">
        <v>125000</v>
      </c>
      <c r="AR33" s="2">
        <v>70</v>
      </c>
      <c r="AS33" s="2">
        <v>1</v>
      </c>
      <c r="AT33" s="2" t="s">
        <v>112</v>
      </c>
      <c r="AU33" s="2">
        <f>+AP33</f>
        <v>8</v>
      </c>
      <c r="AX33" s="2">
        <v>9</v>
      </c>
      <c r="AY33" s="4" t="s">
        <v>59</v>
      </c>
      <c r="AZ33" s="2">
        <v>1</v>
      </c>
      <c r="BA33" s="2">
        <v>0.5</v>
      </c>
      <c r="BB33" s="14">
        <v>22500</v>
      </c>
      <c r="BC33" s="2">
        <v>31</v>
      </c>
      <c r="BD33" s="2">
        <v>2</v>
      </c>
      <c r="BE33" s="2" t="s">
        <v>106</v>
      </c>
      <c r="BF33" s="2">
        <v>0.5</v>
      </c>
      <c r="BG33" s="23" t="str">
        <f t="shared" si="1"/>
        <v>Anti-Missile System</v>
      </c>
      <c r="BH33" s="23">
        <f t="shared" si="2"/>
        <v>1</v>
      </c>
      <c r="BI33" s="23">
        <f t="shared" si="3"/>
        <v>0.5</v>
      </c>
      <c r="BJ33" s="23">
        <f t="shared" si="4"/>
        <v>100000</v>
      </c>
      <c r="BK33" s="23">
        <f t="shared" si="5"/>
        <v>32</v>
      </c>
      <c r="BL33" s="23">
        <f t="shared" si="6"/>
        <v>2</v>
      </c>
      <c r="BM33" s="23" t="str">
        <f t="shared" si="7"/>
        <v>Gear</v>
      </c>
      <c r="BN33" s="23">
        <f t="shared" si="8"/>
        <v>0</v>
      </c>
    </row>
    <row r="34" spans="1:66">
      <c r="A34" s="19" t="str">
        <f>IF($F$4="Bi-ped","Right Arm",IF($F$4="Quad-Ped","Right Front Leg", "Error"))</f>
        <v>Right Arm</v>
      </c>
      <c r="B34" s="20">
        <f>IF($F$4="Bi-ped",HLOOKUP($H$4,'Engine&amp;weapons'!$P$1:$AH$7,4),IF($F$4="Quad-Ped",HLOOKUP($H$4,'Engine&amp;weapons'!$P$1:$AH$7,5), "Error"))</f>
        <v>1</v>
      </c>
      <c r="E34" s="2">
        <f t="shared" si="10"/>
        <v>2</v>
      </c>
      <c r="F34" s="11">
        <v>8</v>
      </c>
      <c r="J34" s="20">
        <f>IF($F$4="Bi-ped",0,IF($F$4="Quad-Ped",6, "Error"))</f>
        <v>0</v>
      </c>
      <c r="N34" s="2">
        <f t="shared" si="0"/>
        <v>2</v>
      </c>
      <c r="AM34" s="2">
        <f t="shared" si="9"/>
        <v>10</v>
      </c>
      <c r="AN34" s="4" t="s">
        <v>235</v>
      </c>
      <c r="AO34" s="2">
        <v>1</v>
      </c>
      <c r="AP34" s="2">
        <v>0.5</v>
      </c>
      <c r="AQ34" s="2">
        <v>100000</v>
      </c>
      <c r="AR34" s="2">
        <v>32</v>
      </c>
      <c r="AS34" s="2">
        <v>2</v>
      </c>
      <c r="AT34" s="2" t="s">
        <v>138</v>
      </c>
      <c r="AU34" s="2">
        <v>0</v>
      </c>
      <c r="AX34" s="2">
        <v>10</v>
      </c>
      <c r="AY34" s="4" t="s">
        <v>177</v>
      </c>
      <c r="AZ34" s="2">
        <v>1</v>
      </c>
      <c r="BA34" s="2">
        <v>1</v>
      </c>
      <c r="BB34" s="14">
        <v>30000</v>
      </c>
      <c r="BD34" s="2">
        <v>2</v>
      </c>
      <c r="BE34" s="2" t="s">
        <v>107</v>
      </c>
      <c r="BF34" s="2">
        <v>0</v>
      </c>
      <c r="BG34" s="23" t="str">
        <f t="shared" si="1"/>
        <v>Anti-Missile System (ammo) 12</v>
      </c>
      <c r="BH34" s="23">
        <f t="shared" si="2"/>
        <v>1</v>
      </c>
      <c r="BI34" s="23">
        <f t="shared" si="3"/>
        <v>1</v>
      </c>
      <c r="BJ34" s="23">
        <f t="shared" si="4"/>
        <v>2000</v>
      </c>
      <c r="BK34" s="23">
        <f t="shared" si="5"/>
        <v>11</v>
      </c>
      <c r="BL34" s="23">
        <f t="shared" si="6"/>
        <v>2</v>
      </c>
      <c r="BM34" s="23" t="str">
        <f t="shared" si="7"/>
        <v>Gear</v>
      </c>
      <c r="BN34" s="23">
        <f t="shared" si="8"/>
        <v>0</v>
      </c>
    </row>
    <row r="35" spans="1:66">
      <c r="A35" s="19" t="str">
        <f>IF($F$4="Bi-ped","Left Leg",IF($F$4="Quad-Ped","Left Rear Leg", "Error"))</f>
        <v>Left Leg</v>
      </c>
      <c r="B35" s="2">
        <f>HLOOKUP($H$4,'Engine&amp;weapons'!$P$1:$AH$7,5)</f>
        <v>2</v>
      </c>
      <c r="E35" s="2">
        <f t="shared" si="10"/>
        <v>4</v>
      </c>
      <c r="F35" s="11">
        <v>8</v>
      </c>
      <c r="N35" s="2">
        <f t="shared" si="0"/>
        <v>2</v>
      </c>
      <c r="AM35" s="2">
        <f t="shared" si="9"/>
        <v>11</v>
      </c>
      <c r="AN35" s="4" t="s">
        <v>236</v>
      </c>
      <c r="AO35" s="2">
        <v>1</v>
      </c>
      <c r="AP35" s="2">
        <v>1</v>
      </c>
      <c r="AQ35" s="2">
        <v>2000</v>
      </c>
      <c r="AR35" s="2">
        <v>11</v>
      </c>
      <c r="AS35" s="2">
        <v>2</v>
      </c>
      <c r="AT35" s="2" t="s">
        <v>138</v>
      </c>
      <c r="AU35" s="2">
        <v>0</v>
      </c>
      <c r="AX35" s="2">
        <v>11</v>
      </c>
      <c r="AY35" s="4" t="s">
        <v>217</v>
      </c>
      <c r="AZ35" s="2">
        <v>2</v>
      </c>
      <c r="BA35" s="2">
        <v>2</v>
      </c>
      <c r="BB35" s="14">
        <f>30000+100000</f>
        <v>130000</v>
      </c>
      <c r="BD35" s="2">
        <v>2</v>
      </c>
      <c r="BE35" s="2" t="s">
        <v>107</v>
      </c>
      <c r="BF35" s="2">
        <v>0</v>
      </c>
      <c r="BG35" s="23" t="str">
        <f t="shared" si="1"/>
        <v>Beagle Active Probe</v>
      </c>
      <c r="BH35" s="23">
        <f t="shared" si="2"/>
        <v>2</v>
      </c>
      <c r="BI35" s="23">
        <f t="shared" si="3"/>
        <v>1.5</v>
      </c>
      <c r="BJ35" s="23">
        <f t="shared" si="4"/>
        <v>0</v>
      </c>
      <c r="BK35" s="23">
        <f t="shared" si="5"/>
        <v>0</v>
      </c>
      <c r="BL35" s="23">
        <f t="shared" si="6"/>
        <v>0</v>
      </c>
      <c r="BM35" s="23">
        <f t="shared" si="7"/>
        <v>0</v>
      </c>
      <c r="BN35" s="23">
        <f t="shared" si="8"/>
        <v>0</v>
      </c>
    </row>
    <row r="36" spans="1:66">
      <c r="A36" s="19" t="str">
        <f>IF($F$4="Bi-ped","Right Leg",IF($F$4="Quad-Ped","Right Rear Leg", "Error"))</f>
        <v>Right Leg</v>
      </c>
      <c r="B36" s="2">
        <f>HLOOKUP($H$4,'Engine&amp;weapons'!$P$1:$AH$7,5)</f>
        <v>2</v>
      </c>
      <c r="E36" s="2">
        <f t="shared" si="10"/>
        <v>4</v>
      </c>
      <c r="F36" s="11">
        <v>8</v>
      </c>
      <c r="N36" s="2">
        <f t="shared" si="0"/>
        <v>2</v>
      </c>
      <c r="AM36" s="2">
        <f t="shared" si="9"/>
        <v>12</v>
      </c>
      <c r="AN36" s="4" t="s">
        <v>213</v>
      </c>
      <c r="AO36" s="2">
        <v>2</v>
      </c>
      <c r="AP36" s="2">
        <v>1.5</v>
      </c>
      <c r="AQ36" s="29"/>
      <c r="AR36" s="29"/>
      <c r="AS36" s="29"/>
      <c r="AT36" s="29"/>
      <c r="AU36" s="2">
        <v>0</v>
      </c>
      <c r="AX36" s="2">
        <v>12</v>
      </c>
      <c r="AY36" s="4" t="s">
        <v>173</v>
      </c>
      <c r="AZ36" s="2">
        <v>1</v>
      </c>
      <c r="BA36" s="2">
        <v>1</v>
      </c>
      <c r="BB36" s="14">
        <v>30000</v>
      </c>
      <c r="BD36" s="2">
        <v>2</v>
      </c>
      <c r="BE36" s="2" t="s">
        <v>105</v>
      </c>
      <c r="BF36" s="2">
        <v>0</v>
      </c>
      <c r="BG36" s="23" t="str">
        <f t="shared" si="1"/>
        <v>C.A.S.E.</v>
      </c>
      <c r="BH36" s="23">
        <f t="shared" si="2"/>
        <v>1</v>
      </c>
      <c r="BI36" s="23">
        <f t="shared" si="3"/>
        <v>0.5</v>
      </c>
      <c r="BJ36" s="23">
        <f t="shared" si="4"/>
        <v>50000</v>
      </c>
      <c r="BK36" s="23">
        <f t="shared" si="5"/>
        <v>0</v>
      </c>
      <c r="BL36" s="23">
        <f t="shared" si="6"/>
        <v>2</v>
      </c>
      <c r="BM36" s="23" t="str">
        <f t="shared" si="7"/>
        <v>CASE</v>
      </c>
      <c r="BN36" s="23">
        <f t="shared" si="8"/>
        <v>0</v>
      </c>
    </row>
    <row r="37" spans="1:66">
      <c r="N37" s="2">
        <f t="shared" si="0"/>
        <v>2</v>
      </c>
      <c r="T37" s="2" t="s">
        <v>230</v>
      </c>
      <c r="U37" s="2" t="s">
        <v>21</v>
      </c>
      <c r="V37" s="2" t="s">
        <v>189</v>
      </c>
      <c r="W37" s="2" t="s">
        <v>190</v>
      </c>
      <c r="AM37" s="2">
        <f t="shared" si="9"/>
        <v>13</v>
      </c>
      <c r="AN37" s="4" t="s">
        <v>186</v>
      </c>
      <c r="AO37" s="2">
        <v>1</v>
      </c>
      <c r="AP37" s="2">
        <v>0.5</v>
      </c>
      <c r="AQ37" s="14">
        <v>50000</v>
      </c>
      <c r="AR37" s="2">
        <v>0</v>
      </c>
      <c r="AS37" s="2">
        <v>2</v>
      </c>
      <c r="AT37" s="2" t="s">
        <v>188</v>
      </c>
      <c r="AU37" s="2">
        <v>0</v>
      </c>
      <c r="AX37" s="2">
        <v>13</v>
      </c>
      <c r="AY37" s="4" t="s">
        <v>224</v>
      </c>
      <c r="AZ37" s="2">
        <v>1</v>
      </c>
      <c r="BA37" s="2">
        <v>1</v>
      </c>
      <c r="BB37" s="14">
        <f>30000*2</f>
        <v>60000</v>
      </c>
      <c r="BD37" s="2">
        <v>2</v>
      </c>
      <c r="BE37" s="2" t="s">
        <v>105</v>
      </c>
      <c r="BF37" s="2">
        <v>0</v>
      </c>
      <c r="BG37" s="23" t="str">
        <f t="shared" si="1"/>
        <v>C.A.S.E. II</v>
      </c>
      <c r="BH37" s="23">
        <f t="shared" si="2"/>
        <v>0</v>
      </c>
      <c r="BI37" s="23">
        <f t="shared" si="3"/>
        <v>0</v>
      </c>
      <c r="BJ37" s="23">
        <f t="shared" si="4"/>
        <v>0</v>
      </c>
      <c r="BK37" s="23">
        <f t="shared" si="5"/>
        <v>0</v>
      </c>
      <c r="BL37" s="23">
        <f t="shared" si="6"/>
        <v>3</v>
      </c>
      <c r="BM37" s="23" t="str">
        <f t="shared" si="7"/>
        <v>CASE</v>
      </c>
      <c r="BN37" s="23">
        <f t="shared" si="8"/>
        <v>0</v>
      </c>
    </row>
    <row r="38" spans="1:66">
      <c r="A38" s="4" t="s">
        <v>118</v>
      </c>
      <c r="B38" s="2" t="s">
        <v>109</v>
      </c>
      <c r="C38" s="2" t="s">
        <v>119</v>
      </c>
      <c r="F38" s="2" t="s">
        <v>10</v>
      </c>
      <c r="H38" s="2" t="s">
        <v>1</v>
      </c>
      <c r="N38" s="2">
        <f t="shared" si="0"/>
        <v>2</v>
      </c>
      <c r="Q38" s="2" t="s">
        <v>182</v>
      </c>
      <c r="R38" s="41" t="s">
        <v>185</v>
      </c>
      <c r="S38" s="41"/>
      <c r="U38" s="2">
        <f>SUM(U39:U79)</f>
        <v>0</v>
      </c>
      <c r="V38" s="2">
        <f>SUM(V39:V79)</f>
        <v>0</v>
      </c>
      <c r="W38" s="2">
        <f>SUM(W39:W79)</f>
        <v>0</v>
      </c>
      <c r="AM38" s="2">
        <f t="shared" si="9"/>
        <v>14</v>
      </c>
      <c r="AN38" s="4" t="s">
        <v>187</v>
      </c>
      <c r="AO38" s="29"/>
      <c r="AP38" s="29"/>
      <c r="AQ38" s="30"/>
      <c r="AR38" s="29"/>
      <c r="AS38" s="2">
        <v>3</v>
      </c>
      <c r="AT38" s="2" t="s">
        <v>188</v>
      </c>
      <c r="AU38" s="2">
        <v>0</v>
      </c>
      <c r="AX38" s="2">
        <v>14</v>
      </c>
      <c r="AY38" s="4" t="s">
        <v>72</v>
      </c>
      <c r="AZ38" s="2">
        <v>2</v>
      </c>
      <c r="BA38" s="2">
        <v>2.5</v>
      </c>
      <c r="BB38" s="14">
        <v>100000</v>
      </c>
      <c r="BD38" s="2">
        <v>2</v>
      </c>
      <c r="BE38" s="2" t="s">
        <v>107</v>
      </c>
      <c r="BF38" s="2">
        <v>0</v>
      </c>
      <c r="BG38" s="23" t="str">
        <f t="shared" si="1"/>
        <v>C3 Improved computer</v>
      </c>
      <c r="BH38" s="23">
        <f t="shared" si="2"/>
        <v>2</v>
      </c>
      <c r="BI38" s="23">
        <f t="shared" si="3"/>
        <v>2.5</v>
      </c>
      <c r="BJ38" s="23">
        <f t="shared" si="4"/>
        <v>0</v>
      </c>
      <c r="BK38" s="23">
        <f t="shared" si="5"/>
        <v>0</v>
      </c>
      <c r="BL38" s="23">
        <f t="shared" si="6"/>
        <v>0</v>
      </c>
      <c r="BM38" s="23" t="str">
        <f t="shared" si="7"/>
        <v>Gear</v>
      </c>
      <c r="BN38" s="23">
        <f t="shared" si="8"/>
        <v>0</v>
      </c>
    </row>
    <row r="39" spans="1:66">
      <c r="A39" s="17">
        <v>0</v>
      </c>
      <c r="B39" s="32" t="s">
        <v>246</v>
      </c>
      <c r="C39" s="11" t="s">
        <v>234</v>
      </c>
      <c r="F39" s="2">
        <f>VLOOKUP($B39,$BG$25:$BM$156,2)*$A39</f>
        <v>0</v>
      </c>
      <c r="H39" s="2">
        <f>VLOOKUP($B39,$BG$25:$BM$156,3)*$A39</f>
        <v>0</v>
      </c>
      <c r="I39" s="2">
        <f>+I23-H39</f>
        <v>5.0000000000000044E-2</v>
      </c>
      <c r="J39" s="2">
        <f>+F39</f>
        <v>0</v>
      </c>
      <c r="K39" s="31"/>
      <c r="L39" s="2">
        <f>VLOOKUP($B39,$BG$25:$BM$156,4)*$A39</f>
        <v>0</v>
      </c>
      <c r="M39" s="2">
        <f>VLOOKUP($B39,$BG$25:$BM$156,6)</f>
        <v>1</v>
      </c>
      <c r="N39" s="2">
        <f t="shared" si="0"/>
        <v>2</v>
      </c>
      <c r="O39" s="2">
        <f>VLOOKUP($B39,$BG$25:$BM$156,5)*$A39</f>
        <v>0</v>
      </c>
      <c r="P39" s="2">
        <f>VLOOKUP($B39,$BG$25:$BN$156,8)*$A39</f>
        <v>0</v>
      </c>
      <c r="Q39" s="2">
        <f t="shared" ref="Q39:Q46" si="11">IF(P39&gt;0,IF(C39="Center Torso Rear",39/2,IF(C39="Right Torso Rear",O39/2,IF(C39="Left Torso Rear",O39/2,O39))),0)</f>
        <v>0</v>
      </c>
      <c r="R39" s="2">
        <f>IF(S39="ammo",IF($F$1="IS",IF($C$8&lt;&gt;"Normal",-20,0),0),0)</f>
        <v>0</v>
      </c>
      <c r="S39" s="18" t="str">
        <f>VLOOKUP($B39,$BG$25:$BN$156,7)</f>
        <v>Laser</v>
      </c>
      <c r="T39" s="2">
        <f>IF($S39="ammo",IF($C39="Right Arm",0,IF($C39="Left Arm",0,-20)),0)*$A39</f>
        <v>0</v>
      </c>
      <c r="U39" s="2">
        <f>IF($C39="Center Torso",IF($S39="CASE",1,0),0)</f>
        <v>0</v>
      </c>
      <c r="V39" s="2">
        <f>IF($C39="Right Torso",IF($S39="CASE",1,0),0)</f>
        <v>0</v>
      </c>
      <c r="W39" s="2">
        <f>IF($C39="Left Torso",IF($S39="CASE",1,0),0)</f>
        <v>0</v>
      </c>
      <c r="AM39" s="2">
        <f t="shared" si="9"/>
        <v>15</v>
      </c>
      <c r="AN39" s="4" t="s">
        <v>207</v>
      </c>
      <c r="AO39" s="2">
        <v>2</v>
      </c>
      <c r="AP39" s="2">
        <v>2.5</v>
      </c>
      <c r="AQ39" s="30"/>
      <c r="AR39" s="29"/>
      <c r="AS39" s="29"/>
      <c r="AT39" s="2" t="s">
        <v>138</v>
      </c>
      <c r="AU39" s="2">
        <v>0</v>
      </c>
      <c r="AX39" s="2">
        <v>15</v>
      </c>
      <c r="AY39" s="4" t="s">
        <v>218</v>
      </c>
      <c r="AZ39" s="2">
        <v>3</v>
      </c>
      <c r="BA39" s="2">
        <v>3.5</v>
      </c>
      <c r="BB39" s="14">
        <f>100000+100000</f>
        <v>200000</v>
      </c>
      <c r="BD39" s="2">
        <v>2</v>
      </c>
      <c r="BE39" s="2" t="s">
        <v>107</v>
      </c>
      <c r="BF39" s="2">
        <v>0</v>
      </c>
      <c r="BG39" s="23" t="str">
        <f t="shared" si="1"/>
        <v>C3 Master</v>
      </c>
      <c r="BH39" s="23">
        <f t="shared" si="2"/>
        <v>5</v>
      </c>
      <c r="BI39" s="23">
        <f t="shared" si="3"/>
        <v>5</v>
      </c>
      <c r="BJ39" s="23">
        <f t="shared" si="4"/>
        <v>0</v>
      </c>
      <c r="BK39" s="23">
        <f t="shared" si="5"/>
        <v>0</v>
      </c>
      <c r="BL39" s="23">
        <f t="shared" si="6"/>
        <v>0</v>
      </c>
      <c r="BM39" s="23" t="str">
        <f t="shared" si="7"/>
        <v>Gear</v>
      </c>
      <c r="BN39" s="23">
        <f t="shared" si="8"/>
        <v>0</v>
      </c>
    </row>
    <row r="40" spans="1:66">
      <c r="A40" s="17">
        <v>0</v>
      </c>
      <c r="B40" s="32" t="s">
        <v>56</v>
      </c>
      <c r="C40" s="11" t="s">
        <v>44</v>
      </c>
      <c r="F40" s="2">
        <f t="shared" ref="F40:F79" si="12">VLOOKUP($B40,$BG$25:$BM$156,2)*$A40</f>
        <v>0</v>
      </c>
      <c r="H40" s="2">
        <f t="shared" ref="H40:H79" si="13">VLOOKUP($B40,$BG$25:$BM$156,3)*$A40</f>
        <v>0</v>
      </c>
      <c r="I40" s="2">
        <f>+I39-H40</f>
        <v>5.0000000000000044E-2</v>
      </c>
      <c r="J40" s="2">
        <f t="shared" ref="J40:J79" si="14">+F40</f>
        <v>0</v>
      </c>
      <c r="K40" s="31"/>
      <c r="L40" s="2">
        <f t="shared" ref="L40:L79" si="15">VLOOKUP($B40,$BG$25:$BM$156,4)*$A40</f>
        <v>0</v>
      </c>
      <c r="M40" s="2">
        <f t="shared" ref="M40:M79" si="16">VLOOKUP($B40,$BG$25:$BM$156,6)</f>
        <v>1</v>
      </c>
      <c r="N40" s="2">
        <f t="shared" si="0"/>
        <v>2</v>
      </c>
      <c r="O40" s="2">
        <f t="shared" ref="O40:O79" si="17">VLOOKUP($B40,$BG$25:$BM$156,5)*$A40</f>
        <v>0</v>
      </c>
      <c r="P40" s="2">
        <f t="shared" ref="P40:P79" si="18">VLOOKUP($B40,$BG$25:$BN$156,8)*$A40</f>
        <v>0</v>
      </c>
      <c r="Q40" s="2">
        <f t="shared" si="11"/>
        <v>0</v>
      </c>
      <c r="R40" s="2">
        <f t="shared" ref="R40:R46" si="19">IF(S40="ammo",IF($F$1="IS",IF($C$8&lt;&gt;"Normal",-20,0),0),0)</f>
        <v>0</v>
      </c>
      <c r="S40" s="18">
        <f t="shared" ref="S40:S79" si="20">VLOOKUP($B40,$BG$25:$BN$156,8)</f>
        <v>0.5</v>
      </c>
      <c r="T40" s="2">
        <f t="shared" ref="T40:T79" si="21">IF($S40="ammo",IF($C40="Right Arm",0,IF($C40="Left Arm",0,-20)),0)*$A40</f>
        <v>0</v>
      </c>
      <c r="U40" s="2">
        <f t="shared" ref="U40:U79" si="22">IF($C40="Center Torso",IF($S40="CASE",1,0),0)</f>
        <v>0</v>
      </c>
      <c r="V40" s="2">
        <f t="shared" ref="V40:V79" si="23">IF($C40="Right Torso",IF($S40="CASE",1,0),0)</f>
        <v>0</v>
      </c>
      <c r="W40" s="2">
        <f t="shared" ref="W40:W79" si="24">IF($C40="Left Torso",IF($S40="CASE",1,0),0)</f>
        <v>0</v>
      </c>
      <c r="AM40" s="2">
        <f t="shared" si="9"/>
        <v>16</v>
      </c>
      <c r="AN40" s="4" t="s">
        <v>204</v>
      </c>
      <c r="AO40" s="2">
        <v>5</v>
      </c>
      <c r="AP40" s="2">
        <v>5</v>
      </c>
      <c r="AQ40" s="30"/>
      <c r="AR40" s="29"/>
      <c r="AS40" s="29"/>
      <c r="AT40" s="2" t="s">
        <v>138</v>
      </c>
      <c r="AU40" s="2">
        <v>0</v>
      </c>
      <c r="AX40" s="2">
        <v>16</v>
      </c>
      <c r="AY40" s="4" t="s">
        <v>91</v>
      </c>
      <c r="AZ40" s="2">
        <v>1</v>
      </c>
      <c r="BA40" s="2">
        <v>1</v>
      </c>
      <c r="BB40" s="14">
        <v>30000</v>
      </c>
      <c r="BD40" s="2">
        <v>2</v>
      </c>
      <c r="BE40" s="2" t="s">
        <v>105</v>
      </c>
      <c r="BF40" s="2">
        <v>0</v>
      </c>
      <c r="BG40" s="23" t="str">
        <f t="shared" si="1"/>
        <v>C3 Slaver</v>
      </c>
      <c r="BH40" s="23">
        <f t="shared" si="2"/>
        <v>1</v>
      </c>
      <c r="BI40" s="23">
        <f t="shared" si="3"/>
        <v>1</v>
      </c>
      <c r="BJ40" s="23">
        <f t="shared" si="4"/>
        <v>0</v>
      </c>
      <c r="BK40" s="23">
        <f t="shared" si="5"/>
        <v>0</v>
      </c>
      <c r="BL40" s="23">
        <f t="shared" si="6"/>
        <v>0</v>
      </c>
      <c r="BM40" s="23" t="str">
        <f t="shared" si="7"/>
        <v>Gear</v>
      </c>
      <c r="BN40" s="23">
        <f t="shared" si="8"/>
        <v>0</v>
      </c>
    </row>
    <row r="41" spans="1:66">
      <c r="A41" s="17">
        <v>0</v>
      </c>
      <c r="B41" s="32" t="s">
        <v>60</v>
      </c>
      <c r="C41" s="11" t="s">
        <v>45</v>
      </c>
      <c r="F41" s="2">
        <f t="shared" si="12"/>
        <v>0</v>
      </c>
      <c r="H41" s="2">
        <f t="shared" si="13"/>
        <v>0</v>
      </c>
      <c r="I41" s="2">
        <f t="shared" ref="I41:I79" si="25">+I40-H41</f>
        <v>5.0000000000000044E-2</v>
      </c>
      <c r="J41" s="2">
        <f t="shared" si="14"/>
        <v>0</v>
      </c>
      <c r="K41" s="31"/>
      <c r="L41" s="2">
        <f t="shared" si="15"/>
        <v>0</v>
      </c>
      <c r="M41" s="2">
        <f t="shared" si="16"/>
        <v>2</v>
      </c>
      <c r="N41" s="2">
        <f t="shared" si="0"/>
        <v>2</v>
      </c>
      <c r="O41" s="2">
        <f t="shared" si="17"/>
        <v>0</v>
      </c>
      <c r="P41" s="2">
        <f t="shared" si="18"/>
        <v>0</v>
      </c>
      <c r="Q41" s="2">
        <f t="shared" si="11"/>
        <v>0</v>
      </c>
      <c r="R41" s="2">
        <f t="shared" si="19"/>
        <v>0</v>
      </c>
      <c r="S41" s="18">
        <f t="shared" si="20"/>
        <v>1</v>
      </c>
      <c r="T41" s="2">
        <f t="shared" si="21"/>
        <v>0</v>
      </c>
      <c r="U41" s="2">
        <f t="shared" si="22"/>
        <v>0</v>
      </c>
      <c r="V41" s="2">
        <f t="shared" si="23"/>
        <v>0</v>
      </c>
      <c r="W41" s="2">
        <f t="shared" si="24"/>
        <v>0</v>
      </c>
      <c r="AM41" s="2">
        <f t="shared" si="9"/>
        <v>17</v>
      </c>
      <c r="AN41" s="4" t="s">
        <v>205</v>
      </c>
      <c r="AO41" s="2">
        <v>1</v>
      </c>
      <c r="AP41" s="2">
        <v>1</v>
      </c>
      <c r="AQ41" s="30"/>
      <c r="AR41" s="29"/>
      <c r="AS41" s="29"/>
      <c r="AT41" s="2" t="s">
        <v>138</v>
      </c>
      <c r="AU41" s="2">
        <v>0</v>
      </c>
      <c r="AX41" s="2">
        <v>17</v>
      </c>
      <c r="AY41" s="4" t="s">
        <v>225</v>
      </c>
      <c r="AZ41" s="2">
        <v>1</v>
      </c>
      <c r="BA41" s="2">
        <v>1</v>
      </c>
      <c r="BB41" s="14">
        <f>30000*2</f>
        <v>60000</v>
      </c>
      <c r="BD41" s="2">
        <v>2</v>
      </c>
      <c r="BE41" s="2" t="s">
        <v>105</v>
      </c>
      <c r="BF41" s="2">
        <v>0</v>
      </c>
      <c r="BG41" s="23" t="str">
        <f t="shared" si="1"/>
        <v>Command Console</v>
      </c>
      <c r="BH41" s="23">
        <f t="shared" si="2"/>
        <v>1</v>
      </c>
      <c r="BI41" s="23">
        <f t="shared" si="3"/>
        <v>3</v>
      </c>
      <c r="BJ41" s="23">
        <f t="shared" si="4"/>
        <v>500000</v>
      </c>
      <c r="BK41" s="23">
        <f t="shared" si="5"/>
        <v>25</v>
      </c>
      <c r="BL41" s="23">
        <f t="shared" si="6"/>
        <v>3</v>
      </c>
      <c r="BM41" s="23" t="str">
        <f t="shared" si="7"/>
        <v>Gear</v>
      </c>
      <c r="BN41" s="23">
        <f t="shared" si="8"/>
        <v>0</v>
      </c>
    </row>
    <row r="42" spans="1:66">
      <c r="A42" s="17">
        <v>0</v>
      </c>
      <c r="B42" s="32" t="s">
        <v>60</v>
      </c>
      <c r="C42" s="11" t="s">
        <v>46</v>
      </c>
      <c r="F42" s="2">
        <f>VLOOKUP($B42,$BG$25:$BM$156,2)*$A42</f>
        <v>0</v>
      </c>
      <c r="H42" s="2">
        <f>VLOOKUP($B42,$BG$25:$BM$156,3)*$A42</f>
        <v>0</v>
      </c>
      <c r="I42" s="2">
        <f t="shared" si="25"/>
        <v>5.0000000000000044E-2</v>
      </c>
      <c r="J42" s="2">
        <f t="shared" si="14"/>
        <v>0</v>
      </c>
      <c r="K42" s="31"/>
      <c r="L42" s="2">
        <f>VLOOKUP($B42,$BG$25:$BM$156,4)*$A42</f>
        <v>0</v>
      </c>
      <c r="M42" s="2">
        <f t="shared" si="16"/>
        <v>2</v>
      </c>
      <c r="N42" s="2">
        <f t="shared" si="0"/>
        <v>2</v>
      </c>
      <c r="O42" s="2">
        <f>VLOOKUP($B42,$BG$25:$BM$156,5)*$A42</f>
        <v>0</v>
      </c>
      <c r="P42" s="2">
        <f>VLOOKUP($B42,$BG$25:$BN$156,8)*$A42</f>
        <v>0</v>
      </c>
      <c r="Q42" s="2">
        <f t="shared" si="11"/>
        <v>0</v>
      </c>
      <c r="R42" s="2">
        <f t="shared" si="19"/>
        <v>0</v>
      </c>
      <c r="S42" s="18">
        <f t="shared" si="20"/>
        <v>1</v>
      </c>
      <c r="T42" s="2">
        <f>IF($S42="ammo",IF($C42="Right Arm",0,IF($C42="Left Arm",0,-20)),0)*$A42</f>
        <v>0</v>
      </c>
      <c r="U42" s="2">
        <f t="shared" si="22"/>
        <v>0</v>
      </c>
      <c r="V42" s="2">
        <f t="shared" si="23"/>
        <v>0</v>
      </c>
      <c r="W42" s="2">
        <f t="shared" si="24"/>
        <v>0</v>
      </c>
      <c r="AM42" s="2">
        <f t="shared" si="9"/>
        <v>18</v>
      </c>
      <c r="AN42" s="4" t="s">
        <v>167</v>
      </c>
      <c r="AO42" s="2">
        <v>1</v>
      </c>
      <c r="AP42" s="2">
        <v>3</v>
      </c>
      <c r="AQ42" s="14">
        <v>500000</v>
      </c>
      <c r="AR42" s="25">
        <v>25</v>
      </c>
      <c r="AS42" s="2">
        <v>3</v>
      </c>
      <c r="AT42" s="2" t="s">
        <v>138</v>
      </c>
      <c r="AU42" s="2">
        <v>0</v>
      </c>
      <c r="AX42" s="2">
        <v>18</v>
      </c>
      <c r="AY42" s="4" t="s">
        <v>73</v>
      </c>
      <c r="AZ42" s="2">
        <v>3</v>
      </c>
      <c r="BA42" s="2">
        <v>3.5</v>
      </c>
      <c r="BB42" s="14">
        <v>175000</v>
      </c>
      <c r="BD42" s="2">
        <v>2</v>
      </c>
      <c r="BE42" s="2" t="s">
        <v>107</v>
      </c>
      <c r="BF42" s="2">
        <v>0</v>
      </c>
      <c r="BG42" s="23" t="str">
        <f t="shared" ref="BG42:BN42" si="26">IF($F$1="IS",AN25,IF($F$1="Clan",AY42,"Try agian"))</f>
        <v>Empty</v>
      </c>
      <c r="BH42" s="23">
        <f t="shared" si="26"/>
        <v>0</v>
      </c>
      <c r="BI42" s="23">
        <f t="shared" si="26"/>
        <v>0</v>
      </c>
      <c r="BJ42" s="23">
        <f t="shared" si="26"/>
        <v>0</v>
      </c>
      <c r="BK42" s="23">
        <f t="shared" si="26"/>
        <v>0</v>
      </c>
      <c r="BL42" s="23">
        <f t="shared" si="26"/>
        <v>0</v>
      </c>
      <c r="BM42" s="23">
        <f t="shared" si="26"/>
        <v>0</v>
      </c>
      <c r="BN42" s="23">
        <f t="shared" si="26"/>
        <v>0</v>
      </c>
    </row>
    <row r="43" spans="1:66">
      <c r="A43" s="17">
        <v>0</v>
      </c>
      <c r="B43" s="32" t="s">
        <v>132</v>
      </c>
      <c r="C43" s="11" t="s">
        <v>244</v>
      </c>
      <c r="F43" s="2">
        <f t="shared" si="12"/>
        <v>0</v>
      </c>
      <c r="H43" s="2">
        <f t="shared" si="13"/>
        <v>0</v>
      </c>
      <c r="I43" s="2">
        <f t="shared" si="25"/>
        <v>5.0000000000000044E-2</v>
      </c>
      <c r="J43" s="2">
        <f t="shared" si="14"/>
        <v>0</v>
      </c>
      <c r="K43" s="31"/>
      <c r="L43" s="2">
        <f t="shared" si="15"/>
        <v>0</v>
      </c>
      <c r="M43" s="2">
        <f t="shared" si="16"/>
        <v>2</v>
      </c>
      <c r="N43" s="2">
        <f t="shared" si="0"/>
        <v>2</v>
      </c>
      <c r="O43" s="2">
        <f t="shared" si="17"/>
        <v>0</v>
      </c>
      <c r="P43" s="2">
        <f t="shared" si="18"/>
        <v>0</v>
      </c>
      <c r="Q43" s="2">
        <f t="shared" si="11"/>
        <v>0</v>
      </c>
      <c r="R43" s="2">
        <f t="shared" si="19"/>
        <v>0</v>
      </c>
      <c r="S43" s="18">
        <f t="shared" si="20"/>
        <v>2</v>
      </c>
      <c r="T43" s="2">
        <f t="shared" si="21"/>
        <v>0</v>
      </c>
      <c r="U43" s="2">
        <f t="shared" si="22"/>
        <v>0</v>
      </c>
      <c r="V43" s="2">
        <f t="shared" si="23"/>
        <v>0</v>
      </c>
      <c r="W43" s="2">
        <f t="shared" si="24"/>
        <v>0</v>
      </c>
      <c r="AM43" s="2">
        <f t="shared" si="9"/>
        <v>19</v>
      </c>
      <c r="AN43" s="4" t="s">
        <v>61</v>
      </c>
      <c r="AO43" s="2">
        <v>2</v>
      </c>
      <c r="AP43" s="2">
        <v>5</v>
      </c>
      <c r="AQ43" s="14">
        <v>200000</v>
      </c>
      <c r="AR43" s="2">
        <v>163</v>
      </c>
      <c r="AS43" s="2">
        <v>2</v>
      </c>
      <c r="AT43" s="2" t="s">
        <v>106</v>
      </c>
      <c r="AU43" s="2">
        <f>+AP43</f>
        <v>5</v>
      </c>
      <c r="AX43" s="2">
        <v>19</v>
      </c>
      <c r="AY43" s="4" t="s">
        <v>219</v>
      </c>
      <c r="AZ43" s="2">
        <v>4</v>
      </c>
      <c r="BA43" s="2">
        <v>4.5</v>
      </c>
      <c r="BB43" s="14">
        <f>175000+100000</f>
        <v>275000</v>
      </c>
      <c r="BD43" s="2">
        <v>2</v>
      </c>
      <c r="BE43" s="2" t="s">
        <v>107</v>
      </c>
      <c r="BF43" s="2">
        <v>0</v>
      </c>
      <c r="BG43" s="23" t="str">
        <f t="shared" ref="BG43:BG74" si="27">IF($F$1="IS",AN43,IF($F$1="Clan",AY43,"Try agian"))</f>
        <v>ER Large Laser</v>
      </c>
      <c r="BH43" s="23">
        <f t="shared" ref="BH43:BH74" si="28">IF($F$1="IS",AO43,IF($F$1="Clan",AZ43,"Try agian"))</f>
        <v>2</v>
      </c>
      <c r="BI43" s="23">
        <f t="shared" ref="BI43:BI74" si="29">IF($F$1="IS",AP43,IF($F$1="Clan",BA43,"Try agian"))</f>
        <v>5</v>
      </c>
      <c r="BJ43" s="23">
        <f t="shared" ref="BJ43:BJ74" si="30">IF($F$1="IS",AQ43,IF($F$1="Clan",BB43,"Try agian"))</f>
        <v>200000</v>
      </c>
      <c r="BK43" s="23">
        <f t="shared" ref="BK43:BK74" si="31">IF($F$1="IS",AR43,IF($F$1="Clan",BC43,"Try agian"))</f>
        <v>163</v>
      </c>
      <c r="BL43" s="23">
        <f t="shared" ref="BL43:BL74" si="32">IF($F$1="IS",AS43,IF($F$1="Clan",BD43,"Try agian"))</f>
        <v>2</v>
      </c>
      <c r="BM43" s="23" t="str">
        <f t="shared" ref="BM43:BM74" si="33">IF($F$1="IS",AT43,IF($F$1="Clan",BE43,"Try agian"))</f>
        <v>Laser</v>
      </c>
      <c r="BN43" s="23">
        <f t="shared" ref="BN43:BN74" si="34">IF($F$1="IS",AU43,IF($F$1="Clan",BF43,"Try agian"))</f>
        <v>5</v>
      </c>
    </row>
    <row r="44" spans="1:66">
      <c r="A44" s="17">
        <v>0</v>
      </c>
      <c r="B44" s="32" t="s">
        <v>239</v>
      </c>
      <c r="C44" s="11" t="s">
        <v>244</v>
      </c>
      <c r="F44" s="2">
        <f t="shared" si="12"/>
        <v>0</v>
      </c>
      <c r="H44" s="2">
        <f t="shared" si="13"/>
        <v>0</v>
      </c>
      <c r="I44" s="2">
        <f t="shared" si="25"/>
        <v>5.0000000000000044E-2</v>
      </c>
      <c r="J44" s="2">
        <f t="shared" si="14"/>
        <v>0</v>
      </c>
      <c r="K44" s="31"/>
      <c r="L44" s="2">
        <f t="shared" si="15"/>
        <v>0</v>
      </c>
      <c r="M44" s="2">
        <f t="shared" si="16"/>
        <v>0</v>
      </c>
      <c r="N44" s="2">
        <f t="shared" si="0"/>
        <v>2</v>
      </c>
      <c r="O44" s="2">
        <f t="shared" si="17"/>
        <v>0</v>
      </c>
      <c r="P44" s="2">
        <f t="shared" si="18"/>
        <v>0</v>
      </c>
      <c r="Q44" s="2">
        <f t="shared" si="11"/>
        <v>0</v>
      </c>
      <c r="R44" s="2">
        <f t="shared" si="19"/>
        <v>0</v>
      </c>
      <c r="S44" s="18">
        <f t="shared" si="20"/>
        <v>0</v>
      </c>
      <c r="T44" s="2">
        <f t="shared" si="21"/>
        <v>0</v>
      </c>
      <c r="U44" s="2">
        <f t="shared" si="22"/>
        <v>0</v>
      </c>
      <c r="V44" s="2">
        <f t="shared" si="23"/>
        <v>0</v>
      </c>
      <c r="W44" s="2">
        <f t="shared" si="24"/>
        <v>0</v>
      </c>
      <c r="AM44" s="2">
        <f t="shared" si="9"/>
        <v>20</v>
      </c>
      <c r="AN44" s="4" t="s">
        <v>60</v>
      </c>
      <c r="AO44" s="2">
        <v>1</v>
      </c>
      <c r="AP44" s="2">
        <v>1</v>
      </c>
      <c r="AQ44" s="14">
        <v>80000</v>
      </c>
      <c r="AR44" s="2">
        <v>62</v>
      </c>
      <c r="AS44" s="2">
        <v>2</v>
      </c>
      <c r="AT44" s="2" t="s">
        <v>106</v>
      </c>
      <c r="AU44" s="2">
        <f>+AP44</f>
        <v>1</v>
      </c>
      <c r="AX44" s="2">
        <v>20</v>
      </c>
      <c r="AY44" s="4" t="s">
        <v>92</v>
      </c>
      <c r="AZ44" s="2">
        <v>1</v>
      </c>
      <c r="BA44" s="2">
        <v>1</v>
      </c>
      <c r="BB44" s="14">
        <v>30000</v>
      </c>
      <c r="BD44" s="2">
        <v>2</v>
      </c>
      <c r="BE44" s="2" t="s">
        <v>105</v>
      </c>
      <c r="BF44" s="2">
        <v>0</v>
      </c>
      <c r="BG44" s="23" t="str">
        <f t="shared" si="27"/>
        <v>ER Medium Laser</v>
      </c>
      <c r="BH44" s="23">
        <f t="shared" si="28"/>
        <v>1</v>
      </c>
      <c r="BI44" s="23">
        <f t="shared" si="29"/>
        <v>1</v>
      </c>
      <c r="BJ44" s="23">
        <f t="shared" si="30"/>
        <v>80000</v>
      </c>
      <c r="BK44" s="23">
        <f t="shared" si="31"/>
        <v>62</v>
      </c>
      <c r="BL44" s="23">
        <f t="shared" si="32"/>
        <v>2</v>
      </c>
      <c r="BM44" s="23" t="str">
        <f t="shared" si="33"/>
        <v>Laser</v>
      </c>
      <c r="BN44" s="23">
        <f t="shared" si="34"/>
        <v>1</v>
      </c>
    </row>
    <row r="45" spans="1:66">
      <c r="A45" s="17">
        <v>0</v>
      </c>
      <c r="B45" s="32" t="s">
        <v>237</v>
      </c>
      <c r="C45" s="11" t="s">
        <v>162</v>
      </c>
      <c r="F45" s="2">
        <f t="shared" si="12"/>
        <v>0</v>
      </c>
      <c r="H45" s="2">
        <f t="shared" si="13"/>
        <v>0</v>
      </c>
      <c r="I45" s="2">
        <f t="shared" si="25"/>
        <v>5.0000000000000044E-2</v>
      </c>
      <c r="J45" s="2">
        <f t="shared" si="14"/>
        <v>0</v>
      </c>
      <c r="K45" s="31"/>
      <c r="L45" s="2">
        <f t="shared" si="15"/>
        <v>0</v>
      </c>
      <c r="M45" s="2">
        <f t="shared" si="16"/>
        <v>2</v>
      </c>
      <c r="N45" s="2">
        <f t="shared" si="0"/>
        <v>2</v>
      </c>
      <c r="O45" s="2">
        <f t="shared" si="17"/>
        <v>0</v>
      </c>
      <c r="P45" s="2">
        <f t="shared" si="18"/>
        <v>0</v>
      </c>
      <c r="Q45" s="2">
        <f t="shared" si="11"/>
        <v>0</v>
      </c>
      <c r="R45" s="2">
        <f t="shared" si="19"/>
        <v>0</v>
      </c>
      <c r="S45" s="18">
        <f t="shared" si="20"/>
        <v>0</v>
      </c>
      <c r="T45" s="2">
        <f t="shared" si="21"/>
        <v>0</v>
      </c>
      <c r="U45" s="2">
        <f t="shared" si="22"/>
        <v>0</v>
      </c>
      <c r="V45" s="2">
        <f t="shared" si="23"/>
        <v>0</v>
      </c>
      <c r="W45" s="2">
        <f t="shared" si="24"/>
        <v>0</v>
      </c>
      <c r="AM45" s="2">
        <f t="shared" si="9"/>
        <v>21</v>
      </c>
      <c r="AN45" s="4" t="s">
        <v>63</v>
      </c>
      <c r="AO45" s="2">
        <v>3</v>
      </c>
      <c r="AP45" s="2">
        <v>7</v>
      </c>
      <c r="AQ45" s="14">
        <v>300000</v>
      </c>
      <c r="AR45" s="2">
        <v>229</v>
      </c>
      <c r="AS45" s="2">
        <v>2</v>
      </c>
      <c r="AT45" s="2" t="s">
        <v>62</v>
      </c>
      <c r="AU45" s="2">
        <f>+AP45</f>
        <v>7</v>
      </c>
      <c r="AX45" s="2">
        <v>21</v>
      </c>
      <c r="AY45" s="4" t="s">
        <v>226</v>
      </c>
      <c r="AZ45" s="2">
        <v>1</v>
      </c>
      <c r="BA45" s="2">
        <v>1</v>
      </c>
      <c r="BB45" s="14">
        <f>30000*2</f>
        <v>60000</v>
      </c>
      <c r="BD45" s="2">
        <v>2</v>
      </c>
      <c r="BE45" s="2" t="s">
        <v>105</v>
      </c>
      <c r="BF45" s="2">
        <v>0</v>
      </c>
      <c r="BG45" s="23" t="str">
        <f t="shared" si="27"/>
        <v>ER PPC</v>
      </c>
      <c r="BH45" s="23">
        <f t="shared" si="28"/>
        <v>3</v>
      </c>
      <c r="BI45" s="23">
        <f t="shared" si="29"/>
        <v>7</v>
      </c>
      <c r="BJ45" s="23">
        <f t="shared" si="30"/>
        <v>300000</v>
      </c>
      <c r="BK45" s="23">
        <f t="shared" si="31"/>
        <v>229</v>
      </c>
      <c r="BL45" s="23">
        <f t="shared" si="32"/>
        <v>2</v>
      </c>
      <c r="BM45" s="23" t="str">
        <f t="shared" si="33"/>
        <v>PPC</v>
      </c>
      <c r="BN45" s="23">
        <f t="shared" si="34"/>
        <v>7</v>
      </c>
    </row>
    <row r="46" spans="1:66">
      <c r="A46" s="17">
        <v>0</v>
      </c>
      <c r="B46" s="32" t="s">
        <v>132</v>
      </c>
      <c r="C46" s="11" t="s">
        <v>47</v>
      </c>
      <c r="F46" s="2">
        <f t="shared" si="12"/>
        <v>0</v>
      </c>
      <c r="H46" s="2">
        <f t="shared" si="13"/>
        <v>0</v>
      </c>
      <c r="I46" s="2">
        <f t="shared" si="25"/>
        <v>5.0000000000000044E-2</v>
      </c>
      <c r="J46" s="2">
        <f t="shared" si="14"/>
        <v>0</v>
      </c>
      <c r="K46" s="31"/>
      <c r="L46" s="2">
        <f t="shared" si="15"/>
        <v>0</v>
      </c>
      <c r="M46" s="2">
        <f t="shared" si="16"/>
        <v>2</v>
      </c>
      <c r="N46" s="2">
        <f t="shared" si="0"/>
        <v>2</v>
      </c>
      <c r="O46" s="2">
        <f t="shared" si="17"/>
        <v>0</v>
      </c>
      <c r="P46" s="2">
        <f t="shared" si="18"/>
        <v>0</v>
      </c>
      <c r="Q46" s="2">
        <f t="shared" si="11"/>
        <v>0</v>
      </c>
      <c r="R46" s="2">
        <f t="shared" si="19"/>
        <v>0</v>
      </c>
      <c r="S46" s="18">
        <f t="shared" si="20"/>
        <v>2</v>
      </c>
      <c r="T46" s="2">
        <f t="shared" si="21"/>
        <v>0</v>
      </c>
      <c r="U46" s="2">
        <f t="shared" si="22"/>
        <v>0</v>
      </c>
      <c r="V46" s="2">
        <f t="shared" si="23"/>
        <v>0</v>
      </c>
      <c r="W46" s="2">
        <f t="shared" si="24"/>
        <v>0</v>
      </c>
      <c r="AM46" s="2">
        <f t="shared" si="9"/>
        <v>22</v>
      </c>
      <c r="AN46" s="4" t="s">
        <v>70</v>
      </c>
      <c r="AO46" s="2">
        <v>4</v>
      </c>
      <c r="AP46" s="2">
        <v>8</v>
      </c>
      <c r="AQ46" s="14">
        <v>450000</v>
      </c>
      <c r="AR46" s="2">
        <v>321</v>
      </c>
      <c r="AS46" s="2">
        <v>3</v>
      </c>
      <c r="AT46" s="2" t="s">
        <v>62</v>
      </c>
      <c r="AU46" s="2">
        <f>+AP46</f>
        <v>8</v>
      </c>
      <c r="AX46" s="2">
        <v>22</v>
      </c>
      <c r="AY46" s="4" t="s">
        <v>74</v>
      </c>
      <c r="AZ46" s="2">
        <v>5</v>
      </c>
      <c r="BA46" s="2">
        <v>5</v>
      </c>
      <c r="BB46" s="14">
        <v>250000</v>
      </c>
      <c r="BD46" s="2">
        <v>2</v>
      </c>
      <c r="BE46" s="2" t="s">
        <v>107</v>
      </c>
      <c r="BF46" s="2">
        <v>0</v>
      </c>
      <c r="BG46" s="23" t="str">
        <f t="shared" si="27"/>
        <v>ER PPC w/Caps</v>
      </c>
      <c r="BH46" s="23">
        <f t="shared" si="28"/>
        <v>4</v>
      </c>
      <c r="BI46" s="23">
        <f t="shared" si="29"/>
        <v>8</v>
      </c>
      <c r="BJ46" s="23">
        <f t="shared" si="30"/>
        <v>450000</v>
      </c>
      <c r="BK46" s="23">
        <f t="shared" si="31"/>
        <v>321</v>
      </c>
      <c r="BL46" s="23">
        <f t="shared" si="32"/>
        <v>3</v>
      </c>
      <c r="BM46" s="23" t="str">
        <f t="shared" si="33"/>
        <v>PPC</v>
      </c>
      <c r="BN46" s="23">
        <f t="shared" si="34"/>
        <v>8</v>
      </c>
    </row>
    <row r="47" spans="1:66">
      <c r="A47" s="17">
        <v>0</v>
      </c>
      <c r="B47" s="32" t="s">
        <v>132</v>
      </c>
      <c r="C47" s="11" t="s">
        <v>48</v>
      </c>
      <c r="F47" s="2">
        <f t="shared" si="12"/>
        <v>0</v>
      </c>
      <c r="H47" s="2">
        <f t="shared" si="13"/>
        <v>0</v>
      </c>
      <c r="I47" s="2">
        <f t="shared" si="25"/>
        <v>5.0000000000000044E-2</v>
      </c>
      <c r="J47" s="2">
        <f t="shared" si="14"/>
        <v>0</v>
      </c>
      <c r="K47" s="31"/>
      <c r="L47" s="2">
        <f t="shared" si="15"/>
        <v>0</v>
      </c>
      <c r="M47" s="2">
        <f t="shared" si="16"/>
        <v>2</v>
      </c>
      <c r="N47" s="2">
        <f t="shared" si="0"/>
        <v>2</v>
      </c>
      <c r="O47" s="2">
        <f t="shared" si="17"/>
        <v>0</v>
      </c>
      <c r="P47" s="2">
        <f t="shared" si="18"/>
        <v>0</v>
      </c>
      <c r="Q47" s="2">
        <f t="shared" ref="Q47:Q79" si="35">IF(P47&gt;0,IF(C47="Center Torso Rear",39/2,IF(C47="Right Torso Rear",O47/2,IF(C47="Left Torso Rear",O47/2,O47))),0)</f>
        <v>0</v>
      </c>
      <c r="S47" s="18">
        <f t="shared" si="20"/>
        <v>2</v>
      </c>
      <c r="T47" s="2">
        <f t="shared" si="21"/>
        <v>0</v>
      </c>
      <c r="U47" s="2">
        <f t="shared" si="22"/>
        <v>0</v>
      </c>
      <c r="V47" s="2">
        <f t="shared" si="23"/>
        <v>0</v>
      </c>
      <c r="W47" s="2">
        <f t="shared" si="24"/>
        <v>0</v>
      </c>
      <c r="AM47" s="2">
        <f t="shared" si="9"/>
        <v>23</v>
      </c>
      <c r="AN47" s="4" t="s">
        <v>59</v>
      </c>
      <c r="AO47" s="2">
        <v>1</v>
      </c>
      <c r="AP47" s="2">
        <v>0.5</v>
      </c>
      <c r="AQ47" s="14">
        <v>22500</v>
      </c>
      <c r="AR47" s="2">
        <v>17</v>
      </c>
      <c r="AS47" s="2">
        <v>2</v>
      </c>
      <c r="AT47" s="2" t="s">
        <v>106</v>
      </c>
      <c r="AU47" s="2">
        <f>+AP47</f>
        <v>0.5</v>
      </c>
      <c r="AX47" s="2">
        <v>23</v>
      </c>
      <c r="AY47" s="4" t="s">
        <v>220</v>
      </c>
      <c r="AZ47" s="2">
        <v>6</v>
      </c>
      <c r="BA47" s="2">
        <v>6</v>
      </c>
      <c r="BB47" s="14">
        <f>250000+100000</f>
        <v>350000</v>
      </c>
      <c r="BD47" s="2">
        <v>2</v>
      </c>
      <c r="BE47" s="2" t="s">
        <v>107</v>
      </c>
      <c r="BF47" s="2">
        <v>0</v>
      </c>
      <c r="BG47" s="23" t="str">
        <f t="shared" si="27"/>
        <v>ER Small Laser</v>
      </c>
      <c r="BH47" s="23">
        <f t="shared" si="28"/>
        <v>1</v>
      </c>
      <c r="BI47" s="23">
        <f t="shared" si="29"/>
        <v>0.5</v>
      </c>
      <c r="BJ47" s="23">
        <f t="shared" si="30"/>
        <v>22500</v>
      </c>
      <c r="BK47" s="23">
        <f t="shared" si="31"/>
        <v>17</v>
      </c>
      <c r="BL47" s="23">
        <f t="shared" si="32"/>
        <v>2</v>
      </c>
      <c r="BM47" s="23" t="str">
        <f t="shared" si="33"/>
        <v>Laser</v>
      </c>
      <c r="BN47" s="23">
        <f t="shared" si="34"/>
        <v>0.5</v>
      </c>
    </row>
    <row r="48" spans="1:66">
      <c r="A48" s="17">
        <v>0</v>
      </c>
      <c r="B48" s="32" t="s">
        <v>229</v>
      </c>
      <c r="C48" s="11" t="s">
        <v>44</v>
      </c>
      <c r="F48" s="2">
        <f t="shared" si="12"/>
        <v>0</v>
      </c>
      <c r="H48" s="2">
        <f t="shared" si="13"/>
        <v>0</v>
      </c>
      <c r="I48" s="2">
        <f t="shared" si="25"/>
        <v>5.0000000000000044E-2</v>
      </c>
      <c r="J48" s="2">
        <f t="shared" si="14"/>
        <v>0</v>
      </c>
      <c r="K48" s="31"/>
      <c r="L48" s="2">
        <f t="shared" si="15"/>
        <v>0</v>
      </c>
      <c r="M48" s="2">
        <f t="shared" si="16"/>
        <v>0</v>
      </c>
      <c r="N48" s="2">
        <f t="shared" si="0"/>
        <v>0</v>
      </c>
      <c r="O48" s="2">
        <f t="shared" si="17"/>
        <v>0</v>
      </c>
      <c r="P48" s="2">
        <f t="shared" si="18"/>
        <v>0</v>
      </c>
      <c r="Q48" s="2">
        <f t="shared" si="35"/>
        <v>0</v>
      </c>
      <c r="S48" s="18">
        <f t="shared" si="20"/>
        <v>0</v>
      </c>
      <c r="T48" s="2">
        <f t="shared" si="21"/>
        <v>0</v>
      </c>
      <c r="U48" s="2">
        <f t="shared" si="22"/>
        <v>0</v>
      </c>
      <c r="V48" s="2">
        <f t="shared" si="23"/>
        <v>0</v>
      </c>
      <c r="W48" s="2">
        <f t="shared" si="24"/>
        <v>0</v>
      </c>
      <c r="AM48" s="2">
        <f t="shared" si="9"/>
        <v>24</v>
      </c>
      <c r="AN48" s="4" t="s">
        <v>82</v>
      </c>
      <c r="AO48" s="2">
        <v>1</v>
      </c>
      <c r="AP48" s="2">
        <v>1</v>
      </c>
      <c r="AQ48" s="14">
        <v>7500</v>
      </c>
      <c r="AR48" s="2">
        <v>6</v>
      </c>
      <c r="AS48" s="2">
        <v>1</v>
      </c>
      <c r="AT48" s="2" t="s">
        <v>108</v>
      </c>
      <c r="AU48" s="2">
        <v>0</v>
      </c>
      <c r="AX48" s="2">
        <v>24</v>
      </c>
      <c r="AY48" s="4" t="s">
        <v>93</v>
      </c>
      <c r="AZ48" s="2">
        <v>1</v>
      </c>
      <c r="BA48" s="2">
        <v>1</v>
      </c>
      <c r="BB48" s="14">
        <v>30000</v>
      </c>
      <c r="BD48" s="2">
        <v>2</v>
      </c>
      <c r="BE48" s="2" t="s">
        <v>105</v>
      </c>
      <c r="BF48" s="2">
        <v>0</v>
      </c>
      <c r="BG48" s="23" t="str">
        <f t="shared" si="27"/>
        <v>Flamer</v>
      </c>
      <c r="BH48" s="23">
        <f t="shared" si="28"/>
        <v>1</v>
      </c>
      <c r="BI48" s="23">
        <f t="shared" si="29"/>
        <v>1</v>
      </c>
      <c r="BJ48" s="23">
        <f t="shared" si="30"/>
        <v>7500</v>
      </c>
      <c r="BK48" s="23">
        <f t="shared" si="31"/>
        <v>6</v>
      </c>
      <c r="BL48" s="23">
        <f t="shared" si="32"/>
        <v>1</v>
      </c>
      <c r="BM48" s="23" t="str">
        <f t="shared" si="33"/>
        <v>Other</v>
      </c>
      <c r="BN48" s="23">
        <f t="shared" si="34"/>
        <v>0</v>
      </c>
    </row>
    <row r="49" spans="1:66">
      <c r="A49" s="17">
        <v>0</v>
      </c>
      <c r="B49" s="32" t="s">
        <v>229</v>
      </c>
      <c r="C49" s="11" t="s">
        <v>44</v>
      </c>
      <c r="F49" s="2">
        <f>VLOOKUP($B49,$BG$25:$BM$156,2)*$A49</f>
        <v>0</v>
      </c>
      <c r="H49" s="2">
        <f>VLOOKUP($B49,$BG$25:$BM$156,3)*$A49</f>
        <v>0</v>
      </c>
      <c r="I49" s="2">
        <f t="shared" si="25"/>
        <v>5.0000000000000044E-2</v>
      </c>
      <c r="J49" s="2">
        <f t="shared" si="14"/>
        <v>0</v>
      </c>
      <c r="K49" s="31"/>
      <c r="L49" s="2">
        <f>VLOOKUP($B49,$BG$25:$BM$156,4)*$A49</f>
        <v>0</v>
      </c>
      <c r="M49" s="2">
        <f t="shared" si="16"/>
        <v>0</v>
      </c>
      <c r="N49" s="2">
        <f t="shared" si="0"/>
        <v>0</v>
      </c>
      <c r="O49" s="2">
        <f>VLOOKUP($B49,$BG$25:$BM$156,5)*$A49</f>
        <v>0</v>
      </c>
      <c r="P49" s="2">
        <f>VLOOKUP($B49,$BG$25:$BN$156,8)*$A49</f>
        <v>0</v>
      </c>
      <c r="Q49" s="2">
        <f t="shared" si="35"/>
        <v>0</v>
      </c>
      <c r="S49" s="18">
        <f t="shared" si="20"/>
        <v>0</v>
      </c>
      <c r="T49" s="2">
        <f>IF($S49="ammo",IF($C49="Right Arm",0,IF($C49="Left Arm",0,-20)),0)*$A49</f>
        <v>0</v>
      </c>
      <c r="U49" s="2">
        <f t="shared" si="22"/>
        <v>0</v>
      </c>
      <c r="V49" s="2">
        <f t="shared" si="23"/>
        <v>0</v>
      </c>
      <c r="W49" s="2">
        <f t="shared" si="24"/>
        <v>0</v>
      </c>
      <c r="AM49" s="2">
        <f t="shared" si="9"/>
        <v>25</v>
      </c>
      <c r="AN49" s="4" t="s">
        <v>83</v>
      </c>
      <c r="AO49" s="2">
        <v>1</v>
      </c>
      <c r="AP49" s="2">
        <v>1</v>
      </c>
      <c r="AQ49" s="14">
        <v>1000</v>
      </c>
      <c r="AR49" s="2">
        <v>1</v>
      </c>
      <c r="AS49" s="2">
        <v>1</v>
      </c>
      <c r="AT49" s="2" t="s">
        <v>105</v>
      </c>
      <c r="AU49" s="2">
        <v>0</v>
      </c>
      <c r="AX49" s="2">
        <v>25</v>
      </c>
      <c r="AY49" s="4" t="s">
        <v>227</v>
      </c>
      <c r="AZ49" s="2">
        <v>1</v>
      </c>
      <c r="BA49" s="2">
        <v>1</v>
      </c>
      <c r="BB49" s="14">
        <f>30000*2</f>
        <v>60000</v>
      </c>
      <c r="BD49" s="2">
        <v>2</v>
      </c>
      <c r="BE49" s="2" t="s">
        <v>105</v>
      </c>
      <c r="BF49" s="2">
        <v>0</v>
      </c>
      <c r="BG49" s="23" t="str">
        <f t="shared" si="27"/>
        <v>Flamer (Ammo 20)</v>
      </c>
      <c r="BH49" s="23">
        <f t="shared" si="28"/>
        <v>1</v>
      </c>
      <c r="BI49" s="23">
        <f t="shared" si="29"/>
        <v>1</v>
      </c>
      <c r="BJ49" s="23">
        <f t="shared" si="30"/>
        <v>1000</v>
      </c>
      <c r="BK49" s="23">
        <f t="shared" si="31"/>
        <v>1</v>
      </c>
      <c r="BL49" s="23">
        <f t="shared" si="32"/>
        <v>1</v>
      </c>
      <c r="BM49" s="23" t="str">
        <f t="shared" si="33"/>
        <v>Ammo</v>
      </c>
      <c r="BN49" s="23">
        <f t="shared" si="34"/>
        <v>0</v>
      </c>
    </row>
    <row r="50" spans="1:66">
      <c r="A50" s="17">
        <v>0</v>
      </c>
      <c r="B50" s="32" t="s">
        <v>229</v>
      </c>
      <c r="C50" s="11" t="s">
        <v>44</v>
      </c>
      <c r="F50" s="2">
        <f t="shared" si="12"/>
        <v>0</v>
      </c>
      <c r="H50" s="2">
        <f t="shared" si="13"/>
        <v>0</v>
      </c>
      <c r="I50" s="2">
        <f t="shared" si="25"/>
        <v>5.0000000000000044E-2</v>
      </c>
      <c r="J50" s="2">
        <f t="shared" si="14"/>
        <v>0</v>
      </c>
      <c r="K50" s="31"/>
      <c r="L50" s="2">
        <f t="shared" si="15"/>
        <v>0</v>
      </c>
      <c r="M50" s="2">
        <f t="shared" si="16"/>
        <v>0</v>
      </c>
      <c r="N50" s="2">
        <f t="shared" si="0"/>
        <v>0</v>
      </c>
      <c r="O50" s="2">
        <f t="shared" si="17"/>
        <v>0</v>
      </c>
      <c r="P50" s="2">
        <f t="shared" si="18"/>
        <v>0</v>
      </c>
      <c r="Q50" s="2">
        <f t="shared" si="35"/>
        <v>0</v>
      </c>
      <c r="S50" s="18">
        <f t="shared" si="20"/>
        <v>0</v>
      </c>
      <c r="T50" s="2">
        <f t="shared" si="21"/>
        <v>0</v>
      </c>
      <c r="U50" s="2">
        <f t="shared" si="22"/>
        <v>0</v>
      </c>
      <c r="V50" s="2">
        <f t="shared" si="23"/>
        <v>0</v>
      </c>
      <c r="W50" s="2">
        <f t="shared" si="24"/>
        <v>0</v>
      </c>
      <c r="AM50" s="2">
        <f t="shared" si="9"/>
        <v>26</v>
      </c>
      <c r="AN50" s="4" t="s">
        <v>84</v>
      </c>
      <c r="AO50" s="2">
        <v>1</v>
      </c>
      <c r="AP50" s="2">
        <v>0.5</v>
      </c>
      <c r="AQ50" s="14">
        <v>7500</v>
      </c>
      <c r="AR50" s="2">
        <v>5</v>
      </c>
      <c r="AS50" s="2">
        <v>1</v>
      </c>
      <c r="AT50" s="2" t="s">
        <v>108</v>
      </c>
      <c r="AU50" s="2">
        <v>0</v>
      </c>
      <c r="AX50" s="2">
        <v>26</v>
      </c>
      <c r="AY50" s="4" t="s">
        <v>208</v>
      </c>
      <c r="AZ50" s="2">
        <f>ROUNDUP($H$4/25,0)</f>
        <v>1</v>
      </c>
      <c r="BA50" s="2">
        <f>ROUNDUP($H$4/25,0)</f>
        <v>1</v>
      </c>
      <c r="BB50" s="2">
        <f>+$BA50*$C$9*1000</f>
        <v>260000</v>
      </c>
      <c r="BD50" s="2">
        <v>2</v>
      </c>
      <c r="BE50" s="2" t="s">
        <v>138</v>
      </c>
      <c r="BF50" s="2">
        <v>0</v>
      </c>
      <c r="BG50" s="23" t="str">
        <f t="shared" si="27"/>
        <v>Flamer (Vehicle)</v>
      </c>
      <c r="BH50" s="23">
        <f t="shared" si="28"/>
        <v>1</v>
      </c>
      <c r="BI50" s="23">
        <f t="shared" si="29"/>
        <v>0.5</v>
      </c>
      <c r="BJ50" s="23">
        <f t="shared" si="30"/>
        <v>7500</v>
      </c>
      <c r="BK50" s="23">
        <f t="shared" si="31"/>
        <v>5</v>
      </c>
      <c r="BL50" s="23">
        <f t="shared" si="32"/>
        <v>1</v>
      </c>
      <c r="BM50" s="23" t="str">
        <f t="shared" si="33"/>
        <v>Other</v>
      </c>
      <c r="BN50" s="23">
        <f t="shared" si="34"/>
        <v>0</v>
      </c>
    </row>
    <row r="51" spans="1:66">
      <c r="A51" s="17">
        <v>0</v>
      </c>
      <c r="B51" s="32" t="s">
        <v>229</v>
      </c>
      <c r="C51" s="11" t="s">
        <v>44</v>
      </c>
      <c r="F51" s="2">
        <f t="shared" si="12"/>
        <v>0</v>
      </c>
      <c r="H51" s="2">
        <f t="shared" si="13"/>
        <v>0</v>
      </c>
      <c r="I51" s="2">
        <f t="shared" si="25"/>
        <v>5.0000000000000044E-2</v>
      </c>
      <c r="J51" s="2">
        <f t="shared" si="14"/>
        <v>0</v>
      </c>
      <c r="K51" s="31"/>
      <c r="L51" s="2">
        <f t="shared" si="15"/>
        <v>0</v>
      </c>
      <c r="M51" s="2">
        <f t="shared" si="16"/>
        <v>0</v>
      </c>
      <c r="N51" s="2">
        <f t="shared" si="0"/>
        <v>0</v>
      </c>
      <c r="O51" s="2">
        <f t="shared" si="17"/>
        <v>0</v>
      </c>
      <c r="P51" s="2">
        <f t="shared" si="18"/>
        <v>0</v>
      </c>
      <c r="Q51" s="2">
        <f t="shared" si="35"/>
        <v>0</v>
      </c>
      <c r="S51" s="18">
        <f t="shared" si="20"/>
        <v>0</v>
      </c>
      <c r="T51" s="2">
        <f t="shared" si="21"/>
        <v>0</v>
      </c>
      <c r="U51" s="2">
        <f t="shared" si="22"/>
        <v>0</v>
      </c>
      <c r="V51" s="2">
        <f t="shared" si="23"/>
        <v>0</v>
      </c>
      <c r="W51" s="2">
        <f t="shared" si="24"/>
        <v>0</v>
      </c>
      <c r="AM51" s="2">
        <f t="shared" si="9"/>
        <v>27</v>
      </c>
      <c r="AN51" s="4" t="s">
        <v>206</v>
      </c>
      <c r="AO51" s="2">
        <v>2</v>
      </c>
      <c r="AP51" s="2">
        <v>1.5</v>
      </c>
      <c r="AQ51" s="30"/>
      <c r="AR51" s="29"/>
      <c r="AS51" s="29"/>
      <c r="AT51" s="2" t="s">
        <v>138</v>
      </c>
      <c r="AU51" s="2">
        <v>0</v>
      </c>
      <c r="AX51" s="2">
        <v>27</v>
      </c>
      <c r="AY51" s="4" t="s">
        <v>231</v>
      </c>
      <c r="AZ51" s="2">
        <v>1</v>
      </c>
      <c r="BA51" s="2">
        <v>0.25</v>
      </c>
      <c r="BB51" s="21">
        <v>5000</v>
      </c>
      <c r="BC51" s="21">
        <v>5</v>
      </c>
      <c r="BD51" s="21">
        <v>2</v>
      </c>
      <c r="BE51" s="2" t="s">
        <v>114</v>
      </c>
      <c r="BF51" s="2">
        <f>+BA51</f>
        <v>0.25</v>
      </c>
      <c r="BG51" s="23" t="str">
        <f t="shared" si="27"/>
        <v>Guardian ECM Suite</v>
      </c>
      <c r="BH51" s="23">
        <f t="shared" si="28"/>
        <v>2</v>
      </c>
      <c r="BI51" s="23">
        <f t="shared" si="29"/>
        <v>1.5</v>
      </c>
      <c r="BJ51" s="23">
        <f t="shared" si="30"/>
        <v>0</v>
      </c>
      <c r="BK51" s="23">
        <f t="shared" si="31"/>
        <v>0</v>
      </c>
      <c r="BL51" s="23">
        <f t="shared" si="32"/>
        <v>0</v>
      </c>
      <c r="BM51" s="23" t="str">
        <f t="shared" si="33"/>
        <v>Gear</v>
      </c>
      <c r="BN51" s="23">
        <f t="shared" si="34"/>
        <v>0</v>
      </c>
    </row>
    <row r="52" spans="1:66">
      <c r="A52" s="17">
        <v>0</v>
      </c>
      <c r="B52" s="32" t="s">
        <v>229</v>
      </c>
      <c r="C52" s="11" t="s">
        <v>44</v>
      </c>
      <c r="F52" s="2">
        <f t="shared" si="12"/>
        <v>0</v>
      </c>
      <c r="H52" s="2">
        <f t="shared" si="13"/>
        <v>0</v>
      </c>
      <c r="I52" s="2">
        <f t="shared" si="25"/>
        <v>5.0000000000000044E-2</v>
      </c>
      <c r="J52" s="2">
        <f t="shared" si="14"/>
        <v>0</v>
      </c>
      <c r="K52" s="31"/>
      <c r="L52" s="2">
        <f t="shared" si="15"/>
        <v>0</v>
      </c>
      <c r="M52" s="2">
        <f t="shared" si="16"/>
        <v>0</v>
      </c>
      <c r="N52" s="2">
        <f t="shared" si="0"/>
        <v>0</v>
      </c>
      <c r="O52" s="2">
        <f t="shared" si="17"/>
        <v>0</v>
      </c>
      <c r="P52" s="2">
        <f t="shared" si="18"/>
        <v>0</v>
      </c>
      <c r="Q52" s="2">
        <f t="shared" si="35"/>
        <v>0</v>
      </c>
      <c r="S52" s="18">
        <f t="shared" si="20"/>
        <v>0</v>
      </c>
      <c r="T52" s="2">
        <f t="shared" si="21"/>
        <v>0</v>
      </c>
      <c r="U52" s="2">
        <f t="shared" si="22"/>
        <v>0</v>
      </c>
      <c r="V52" s="2">
        <f t="shared" si="23"/>
        <v>0</v>
      </c>
      <c r="W52" s="2">
        <f t="shared" si="24"/>
        <v>0</v>
      </c>
      <c r="AM52" s="2">
        <f t="shared" si="9"/>
        <v>28</v>
      </c>
      <c r="AN52" s="4" t="s">
        <v>209</v>
      </c>
      <c r="AO52" s="2">
        <f>ROUNDUP($H$4/15,0)</f>
        <v>1</v>
      </c>
      <c r="AP52" s="2">
        <f>ROUNDUP($H$4/15,0)</f>
        <v>1</v>
      </c>
      <c r="AQ52" s="30"/>
      <c r="AR52" s="29"/>
      <c r="AS52" s="29"/>
      <c r="AT52" s="2" t="s">
        <v>212</v>
      </c>
      <c r="AU52" s="2">
        <v>0</v>
      </c>
      <c r="AX52" s="2">
        <v>28</v>
      </c>
      <c r="AY52" s="4" t="s">
        <v>232</v>
      </c>
      <c r="AZ52" s="2">
        <v>1</v>
      </c>
      <c r="BA52" s="2">
        <v>1</v>
      </c>
      <c r="BB52" s="21">
        <v>500</v>
      </c>
      <c r="BC52" s="21">
        <v>0.5</v>
      </c>
      <c r="BD52" s="21">
        <v>1</v>
      </c>
      <c r="BE52" s="2" t="s">
        <v>105</v>
      </c>
      <c r="BF52" s="2">
        <v>0</v>
      </c>
      <c r="BG52" s="23" t="str">
        <f t="shared" si="27"/>
        <v>Hatch</v>
      </c>
      <c r="BH52" s="23">
        <f t="shared" si="28"/>
        <v>1</v>
      </c>
      <c r="BI52" s="23">
        <f t="shared" si="29"/>
        <v>1</v>
      </c>
      <c r="BJ52" s="23">
        <f t="shared" si="30"/>
        <v>0</v>
      </c>
      <c r="BK52" s="23">
        <f t="shared" si="31"/>
        <v>0</v>
      </c>
      <c r="BL52" s="23">
        <f t="shared" si="32"/>
        <v>0</v>
      </c>
      <c r="BM52" s="23" t="str">
        <f t="shared" si="33"/>
        <v>Melee</v>
      </c>
      <c r="BN52" s="23">
        <f t="shared" si="34"/>
        <v>0</v>
      </c>
    </row>
    <row r="53" spans="1:66">
      <c r="A53" s="17">
        <v>0</v>
      </c>
      <c r="B53" s="32" t="s">
        <v>229</v>
      </c>
      <c r="C53" s="11" t="s">
        <v>44</v>
      </c>
      <c r="F53" s="2">
        <f t="shared" si="12"/>
        <v>0</v>
      </c>
      <c r="H53" s="2">
        <f t="shared" si="13"/>
        <v>0</v>
      </c>
      <c r="I53" s="2">
        <f t="shared" si="25"/>
        <v>5.0000000000000044E-2</v>
      </c>
      <c r="J53" s="2">
        <f t="shared" si="14"/>
        <v>0</v>
      </c>
      <c r="K53" s="31"/>
      <c r="L53" s="2">
        <f t="shared" si="15"/>
        <v>0</v>
      </c>
      <c r="M53" s="2">
        <f t="shared" si="16"/>
        <v>0</v>
      </c>
      <c r="N53" s="2">
        <f t="shared" si="0"/>
        <v>0</v>
      </c>
      <c r="O53" s="2">
        <f t="shared" si="17"/>
        <v>0</v>
      </c>
      <c r="P53" s="2">
        <f t="shared" si="18"/>
        <v>0</v>
      </c>
      <c r="Q53" s="2">
        <f t="shared" si="35"/>
        <v>0</v>
      </c>
      <c r="S53" s="18">
        <f t="shared" si="20"/>
        <v>0</v>
      </c>
      <c r="T53" s="2">
        <f t="shared" si="21"/>
        <v>0</v>
      </c>
      <c r="U53" s="2">
        <f t="shared" si="22"/>
        <v>0</v>
      </c>
      <c r="V53" s="2">
        <f t="shared" si="23"/>
        <v>0</v>
      </c>
      <c r="W53" s="2">
        <f t="shared" si="24"/>
        <v>0</v>
      </c>
      <c r="AM53" s="2">
        <f t="shared" si="9"/>
        <v>29</v>
      </c>
      <c r="AN53" s="4" t="s">
        <v>58</v>
      </c>
      <c r="AO53" s="2">
        <v>2</v>
      </c>
      <c r="AP53" s="2">
        <v>5</v>
      </c>
      <c r="AQ53" s="14">
        <v>100000</v>
      </c>
      <c r="AR53" s="2">
        <v>124</v>
      </c>
      <c r="AS53" s="2">
        <v>1</v>
      </c>
      <c r="AT53" s="2" t="s">
        <v>106</v>
      </c>
      <c r="AU53" s="2">
        <f>+AP53</f>
        <v>5</v>
      </c>
      <c r="AX53" s="2">
        <v>29</v>
      </c>
      <c r="AY53" s="4" t="s">
        <v>233</v>
      </c>
      <c r="AZ53" s="2">
        <v>1</v>
      </c>
      <c r="BA53" s="2">
        <v>1</v>
      </c>
      <c r="BB53" s="21">
        <v>1000</v>
      </c>
      <c r="BC53" s="21">
        <v>1</v>
      </c>
      <c r="BD53" s="21">
        <v>1</v>
      </c>
      <c r="BE53" s="2" t="s">
        <v>105</v>
      </c>
      <c r="BF53" s="2">
        <v>0</v>
      </c>
      <c r="BG53" s="23" t="str">
        <f t="shared" si="27"/>
        <v>Large Laser</v>
      </c>
      <c r="BH53" s="23">
        <f t="shared" si="28"/>
        <v>2</v>
      </c>
      <c r="BI53" s="23">
        <f t="shared" si="29"/>
        <v>5</v>
      </c>
      <c r="BJ53" s="23">
        <f t="shared" si="30"/>
        <v>100000</v>
      </c>
      <c r="BK53" s="23">
        <f t="shared" si="31"/>
        <v>124</v>
      </c>
      <c r="BL53" s="23">
        <f t="shared" si="32"/>
        <v>1</v>
      </c>
      <c r="BM53" s="23" t="str">
        <f t="shared" si="33"/>
        <v>Laser</v>
      </c>
      <c r="BN53" s="23">
        <f t="shared" si="34"/>
        <v>5</v>
      </c>
    </row>
    <row r="54" spans="1:66">
      <c r="A54" s="17">
        <v>0</v>
      </c>
      <c r="B54" s="32" t="s">
        <v>229</v>
      </c>
      <c r="C54" s="11" t="s">
        <v>44</v>
      </c>
      <c r="F54" s="2">
        <f t="shared" si="12"/>
        <v>0</v>
      </c>
      <c r="H54" s="2">
        <f t="shared" si="13"/>
        <v>0</v>
      </c>
      <c r="I54" s="2">
        <f t="shared" si="25"/>
        <v>5.0000000000000044E-2</v>
      </c>
      <c r="J54" s="2">
        <f t="shared" si="14"/>
        <v>0</v>
      </c>
      <c r="K54" s="31"/>
      <c r="L54" s="2">
        <f t="shared" si="15"/>
        <v>0</v>
      </c>
      <c r="M54" s="2">
        <f t="shared" si="16"/>
        <v>0</v>
      </c>
      <c r="N54" s="2">
        <f t="shared" si="0"/>
        <v>0</v>
      </c>
      <c r="O54" s="2">
        <f t="shared" si="17"/>
        <v>0</v>
      </c>
      <c r="P54" s="2">
        <f t="shared" si="18"/>
        <v>0</v>
      </c>
      <c r="Q54" s="2">
        <f t="shared" si="35"/>
        <v>0</v>
      </c>
      <c r="S54" s="18">
        <f t="shared" si="20"/>
        <v>0</v>
      </c>
      <c r="T54" s="2">
        <f t="shared" si="21"/>
        <v>0</v>
      </c>
      <c r="U54" s="2">
        <f t="shared" si="22"/>
        <v>0</v>
      </c>
      <c r="V54" s="2">
        <f t="shared" si="23"/>
        <v>0</v>
      </c>
      <c r="W54" s="2">
        <f t="shared" si="24"/>
        <v>0</v>
      </c>
      <c r="AM54" s="2">
        <f t="shared" si="9"/>
        <v>30</v>
      </c>
      <c r="AN54" s="4" t="s">
        <v>131</v>
      </c>
      <c r="AO54" s="2">
        <v>2</v>
      </c>
      <c r="AP54" s="2">
        <v>7</v>
      </c>
      <c r="AQ54" s="14">
        <v>175000</v>
      </c>
      <c r="AR54" s="2">
        <v>119</v>
      </c>
      <c r="AS54" s="2">
        <v>2</v>
      </c>
      <c r="AT54" s="2" t="s">
        <v>106</v>
      </c>
      <c r="AU54" s="2">
        <f>+AP54</f>
        <v>7</v>
      </c>
      <c r="AX54" s="2">
        <v>30</v>
      </c>
      <c r="AY54" s="4" t="s">
        <v>132</v>
      </c>
      <c r="AZ54" s="2">
        <v>1</v>
      </c>
      <c r="BA54" s="2">
        <v>2</v>
      </c>
      <c r="BB54" s="14">
        <v>60000</v>
      </c>
      <c r="BD54" s="2">
        <v>2</v>
      </c>
      <c r="BE54" s="2" t="s">
        <v>106</v>
      </c>
      <c r="BF54" s="2">
        <f>+BA54</f>
        <v>2</v>
      </c>
      <c r="BG54" s="23" t="str">
        <f t="shared" si="27"/>
        <v>Large Pulse</v>
      </c>
      <c r="BH54" s="23">
        <f t="shared" si="28"/>
        <v>2</v>
      </c>
      <c r="BI54" s="23">
        <f t="shared" si="29"/>
        <v>7</v>
      </c>
      <c r="BJ54" s="23">
        <f t="shared" si="30"/>
        <v>175000</v>
      </c>
      <c r="BK54" s="23">
        <f t="shared" si="31"/>
        <v>119</v>
      </c>
      <c r="BL54" s="23">
        <f t="shared" si="32"/>
        <v>2</v>
      </c>
      <c r="BM54" s="23" t="str">
        <f t="shared" si="33"/>
        <v>Laser</v>
      </c>
      <c r="BN54" s="23">
        <f t="shared" si="34"/>
        <v>7</v>
      </c>
    </row>
    <row r="55" spans="1:66">
      <c r="A55" s="17">
        <v>0</v>
      </c>
      <c r="B55" s="32" t="s">
        <v>229</v>
      </c>
      <c r="C55" s="11" t="s">
        <v>44</v>
      </c>
      <c r="F55" s="2">
        <f t="shared" si="12"/>
        <v>0</v>
      </c>
      <c r="H55" s="2">
        <f t="shared" si="13"/>
        <v>0</v>
      </c>
      <c r="I55" s="2">
        <f t="shared" si="25"/>
        <v>5.0000000000000044E-2</v>
      </c>
      <c r="J55" s="2">
        <f t="shared" si="14"/>
        <v>0</v>
      </c>
      <c r="K55" s="31"/>
      <c r="L55" s="2">
        <f t="shared" si="15"/>
        <v>0</v>
      </c>
      <c r="M55" s="2">
        <f t="shared" si="16"/>
        <v>0</v>
      </c>
      <c r="N55" s="2">
        <f t="shared" si="0"/>
        <v>0</v>
      </c>
      <c r="O55" s="2">
        <f t="shared" si="17"/>
        <v>0</v>
      </c>
      <c r="P55" s="2">
        <f t="shared" si="18"/>
        <v>0</v>
      </c>
      <c r="Q55" s="2">
        <f t="shared" si="35"/>
        <v>0</v>
      </c>
      <c r="S55" s="18">
        <f t="shared" si="20"/>
        <v>0</v>
      </c>
      <c r="T55" s="2">
        <f t="shared" si="21"/>
        <v>0</v>
      </c>
      <c r="U55" s="2">
        <f t="shared" si="22"/>
        <v>0</v>
      </c>
      <c r="V55" s="2">
        <f t="shared" si="23"/>
        <v>0</v>
      </c>
      <c r="W55" s="2">
        <f t="shared" si="24"/>
        <v>0</v>
      </c>
      <c r="AM55" s="2">
        <f t="shared" si="9"/>
        <v>31</v>
      </c>
      <c r="AN55" s="4" t="s">
        <v>137</v>
      </c>
      <c r="AO55" s="2">
        <v>2</v>
      </c>
      <c r="AP55" s="2">
        <v>1.5</v>
      </c>
      <c r="AQ55" s="14">
        <v>225000</v>
      </c>
      <c r="AR55" s="2">
        <v>105</v>
      </c>
      <c r="AS55" s="2">
        <v>3</v>
      </c>
      <c r="AT55" s="2" t="s">
        <v>138</v>
      </c>
      <c r="AU55" s="2">
        <f>+AP55</f>
        <v>1.5</v>
      </c>
      <c r="AX55" s="2">
        <v>31</v>
      </c>
      <c r="AY55" s="4" t="s">
        <v>240</v>
      </c>
      <c r="AZ55" s="2">
        <v>-1</v>
      </c>
      <c r="BA55" s="15">
        <v>0</v>
      </c>
      <c r="BB55" s="2">
        <f>-50*$H$4</f>
        <v>-500</v>
      </c>
      <c r="BD55" s="2">
        <v>0</v>
      </c>
      <c r="BE55" s="2" t="s">
        <v>138</v>
      </c>
      <c r="BF55" s="2">
        <v>0</v>
      </c>
      <c r="BG55" s="23" t="str">
        <f t="shared" si="27"/>
        <v>Laser A.M.S.</v>
      </c>
      <c r="BH55" s="23">
        <f t="shared" si="28"/>
        <v>2</v>
      </c>
      <c r="BI55" s="23">
        <f t="shared" si="29"/>
        <v>1.5</v>
      </c>
      <c r="BJ55" s="23">
        <f t="shared" si="30"/>
        <v>225000</v>
      </c>
      <c r="BK55" s="23">
        <f t="shared" si="31"/>
        <v>105</v>
      </c>
      <c r="BL55" s="23">
        <f t="shared" si="32"/>
        <v>3</v>
      </c>
      <c r="BM55" s="23" t="str">
        <f t="shared" si="33"/>
        <v>Gear</v>
      </c>
      <c r="BN55" s="23">
        <f t="shared" si="34"/>
        <v>1.5</v>
      </c>
    </row>
    <row r="56" spans="1:66">
      <c r="A56" s="17">
        <v>0</v>
      </c>
      <c r="B56" s="32" t="s">
        <v>229</v>
      </c>
      <c r="C56" s="11" t="s">
        <v>44</v>
      </c>
      <c r="F56" s="2">
        <f t="shared" si="12"/>
        <v>0</v>
      </c>
      <c r="H56" s="2">
        <f t="shared" si="13"/>
        <v>0</v>
      </c>
      <c r="I56" s="2">
        <f t="shared" si="25"/>
        <v>5.0000000000000044E-2</v>
      </c>
      <c r="J56" s="2">
        <f t="shared" si="14"/>
        <v>0</v>
      </c>
      <c r="K56" s="31"/>
      <c r="L56" s="2">
        <f t="shared" si="15"/>
        <v>0</v>
      </c>
      <c r="M56" s="2">
        <f t="shared" si="16"/>
        <v>0</v>
      </c>
      <c r="N56" s="2">
        <f t="shared" si="0"/>
        <v>0</v>
      </c>
      <c r="O56" s="2">
        <f t="shared" si="17"/>
        <v>0</v>
      </c>
      <c r="P56" s="2">
        <f t="shared" si="18"/>
        <v>0</v>
      </c>
      <c r="Q56" s="2">
        <f t="shared" si="35"/>
        <v>0</v>
      </c>
      <c r="S56" s="18">
        <f t="shared" si="20"/>
        <v>0</v>
      </c>
      <c r="T56" s="2">
        <f t="shared" si="21"/>
        <v>0</v>
      </c>
      <c r="U56" s="2">
        <f t="shared" si="22"/>
        <v>0</v>
      </c>
      <c r="V56" s="2">
        <f t="shared" si="23"/>
        <v>0</v>
      </c>
      <c r="W56" s="2">
        <f t="shared" si="24"/>
        <v>0</v>
      </c>
      <c r="AM56" s="2">
        <f t="shared" si="9"/>
        <v>32</v>
      </c>
      <c r="AN56" s="4" t="s">
        <v>169</v>
      </c>
      <c r="AO56" s="2">
        <v>1</v>
      </c>
      <c r="AP56" s="2">
        <v>1</v>
      </c>
      <c r="AQ56" s="14">
        <v>3300</v>
      </c>
      <c r="AR56" s="2">
        <v>5</v>
      </c>
      <c r="AS56" s="2">
        <v>2</v>
      </c>
      <c r="AT56" s="2" t="s">
        <v>105</v>
      </c>
      <c r="AU56" s="2">
        <v>0</v>
      </c>
      <c r="AX56" s="2">
        <v>32</v>
      </c>
      <c r="AY56" s="4" t="s">
        <v>239</v>
      </c>
      <c r="AZ56" s="2">
        <v>-1</v>
      </c>
      <c r="BA56" s="15">
        <v>0</v>
      </c>
      <c r="BB56" s="2">
        <f>-80*$H$4</f>
        <v>-800</v>
      </c>
      <c r="BD56" s="2">
        <v>0</v>
      </c>
      <c r="BE56" s="2" t="s">
        <v>138</v>
      </c>
      <c r="BF56" s="2">
        <v>0</v>
      </c>
      <c r="BG56" s="23" t="str">
        <f t="shared" si="27"/>
        <v>LB-X  2 (Ammo 45 Cluster)</v>
      </c>
      <c r="BH56" s="23">
        <f t="shared" si="28"/>
        <v>1</v>
      </c>
      <c r="BI56" s="23">
        <f t="shared" si="29"/>
        <v>1</v>
      </c>
      <c r="BJ56" s="23">
        <f t="shared" si="30"/>
        <v>3300</v>
      </c>
      <c r="BK56" s="23">
        <f t="shared" si="31"/>
        <v>5</v>
      </c>
      <c r="BL56" s="23">
        <f t="shared" si="32"/>
        <v>2</v>
      </c>
      <c r="BM56" s="23" t="str">
        <f t="shared" si="33"/>
        <v>Ammo</v>
      </c>
      <c r="BN56" s="23">
        <f t="shared" si="34"/>
        <v>0</v>
      </c>
    </row>
    <row r="57" spans="1:66">
      <c r="A57" s="17">
        <v>0</v>
      </c>
      <c r="B57" s="32" t="s">
        <v>229</v>
      </c>
      <c r="C57" s="11" t="s">
        <v>44</v>
      </c>
      <c r="F57" s="2">
        <f t="shared" si="12"/>
        <v>0</v>
      </c>
      <c r="H57" s="2">
        <f t="shared" si="13"/>
        <v>0</v>
      </c>
      <c r="I57" s="2">
        <f t="shared" si="25"/>
        <v>5.0000000000000044E-2</v>
      </c>
      <c r="J57" s="2">
        <f t="shared" si="14"/>
        <v>0</v>
      </c>
      <c r="K57" s="31"/>
      <c r="L57" s="2">
        <f t="shared" si="15"/>
        <v>0</v>
      </c>
      <c r="M57" s="2">
        <f t="shared" si="16"/>
        <v>0</v>
      </c>
      <c r="N57" s="2">
        <f t="shared" si="0"/>
        <v>0</v>
      </c>
      <c r="O57" s="2">
        <f t="shared" si="17"/>
        <v>0</v>
      </c>
      <c r="P57" s="2">
        <f t="shared" si="18"/>
        <v>0</v>
      </c>
      <c r="Q57" s="2">
        <f t="shared" si="35"/>
        <v>0</v>
      </c>
      <c r="S57" s="18">
        <f t="shared" si="20"/>
        <v>0</v>
      </c>
      <c r="T57" s="2">
        <f t="shared" si="21"/>
        <v>0</v>
      </c>
      <c r="U57" s="2">
        <f t="shared" si="22"/>
        <v>0</v>
      </c>
      <c r="V57" s="2">
        <f t="shared" si="23"/>
        <v>0</v>
      </c>
      <c r="W57" s="2">
        <f t="shared" si="24"/>
        <v>0</v>
      </c>
      <c r="AM57" s="2">
        <f t="shared" si="9"/>
        <v>33</v>
      </c>
      <c r="AN57" s="4" t="s">
        <v>170</v>
      </c>
      <c r="AO57" s="2">
        <v>1</v>
      </c>
      <c r="AP57" s="2">
        <v>1</v>
      </c>
      <c r="AQ57" s="14">
        <v>2000</v>
      </c>
      <c r="AR57" s="2">
        <v>5</v>
      </c>
      <c r="AS57" s="2">
        <v>2</v>
      </c>
      <c r="AT57" s="2" t="s">
        <v>105</v>
      </c>
      <c r="AU57" s="2">
        <v>0</v>
      </c>
      <c r="AX57" s="2">
        <v>33</v>
      </c>
      <c r="AY57" s="4" t="s">
        <v>66</v>
      </c>
      <c r="AZ57" s="2">
        <v>1</v>
      </c>
      <c r="BA57" s="2">
        <v>1.5</v>
      </c>
      <c r="BB57" s="14">
        <v>80000</v>
      </c>
      <c r="BC57" s="2">
        <v>59</v>
      </c>
      <c r="BD57" s="2">
        <v>1</v>
      </c>
      <c r="BE57" s="2" t="s">
        <v>107</v>
      </c>
      <c r="BF57" s="2">
        <v>0</v>
      </c>
      <c r="BG57" s="23" t="str">
        <f t="shared" si="27"/>
        <v>LB-X  2 (Ammo 45 Slug)</v>
      </c>
      <c r="BH57" s="23">
        <f t="shared" si="28"/>
        <v>1</v>
      </c>
      <c r="BI57" s="23">
        <f t="shared" si="29"/>
        <v>1</v>
      </c>
      <c r="BJ57" s="23">
        <f t="shared" si="30"/>
        <v>2000</v>
      </c>
      <c r="BK57" s="23">
        <f t="shared" si="31"/>
        <v>5</v>
      </c>
      <c r="BL57" s="23">
        <f t="shared" si="32"/>
        <v>2</v>
      </c>
      <c r="BM57" s="23" t="str">
        <f t="shared" si="33"/>
        <v>Ammo</v>
      </c>
      <c r="BN57" s="23">
        <f t="shared" si="34"/>
        <v>0</v>
      </c>
    </row>
    <row r="58" spans="1:66">
      <c r="A58" s="17">
        <v>0</v>
      </c>
      <c r="B58" s="32" t="s">
        <v>229</v>
      </c>
      <c r="C58" s="11" t="s">
        <v>44</v>
      </c>
      <c r="F58" s="2">
        <f t="shared" si="12"/>
        <v>0</v>
      </c>
      <c r="H58" s="2">
        <f t="shared" si="13"/>
        <v>0</v>
      </c>
      <c r="I58" s="2">
        <f t="shared" si="25"/>
        <v>5.0000000000000044E-2</v>
      </c>
      <c r="J58" s="2">
        <f t="shared" si="14"/>
        <v>0</v>
      </c>
      <c r="K58" s="31"/>
      <c r="L58" s="2">
        <f t="shared" si="15"/>
        <v>0</v>
      </c>
      <c r="M58" s="2">
        <f t="shared" si="16"/>
        <v>0</v>
      </c>
      <c r="N58" s="2">
        <f t="shared" si="0"/>
        <v>0</v>
      </c>
      <c r="O58" s="2">
        <f t="shared" si="17"/>
        <v>0</v>
      </c>
      <c r="P58" s="2">
        <f t="shared" si="18"/>
        <v>0</v>
      </c>
      <c r="Q58" s="2">
        <f t="shared" si="35"/>
        <v>0</v>
      </c>
      <c r="S58" s="18">
        <f t="shared" si="20"/>
        <v>0</v>
      </c>
      <c r="T58" s="2">
        <f t="shared" si="21"/>
        <v>0</v>
      </c>
      <c r="U58" s="2">
        <f t="shared" si="22"/>
        <v>0</v>
      </c>
      <c r="V58" s="2">
        <f t="shared" si="23"/>
        <v>0</v>
      </c>
      <c r="W58" s="2">
        <f t="shared" si="24"/>
        <v>0</v>
      </c>
      <c r="AM58" s="2">
        <f t="shared" si="9"/>
        <v>34</v>
      </c>
      <c r="AN58" s="4" t="s">
        <v>199</v>
      </c>
      <c r="AO58" s="2">
        <v>4</v>
      </c>
      <c r="AP58" s="2">
        <v>6</v>
      </c>
      <c r="AQ58" s="14">
        <v>150000</v>
      </c>
      <c r="AR58" s="2">
        <v>42</v>
      </c>
      <c r="AS58" s="2">
        <v>2</v>
      </c>
      <c r="AT58" s="2" t="s">
        <v>124</v>
      </c>
      <c r="AU58" s="2">
        <f>+AP58</f>
        <v>6</v>
      </c>
      <c r="AX58" s="2">
        <v>34</v>
      </c>
      <c r="AY58" s="4" t="s">
        <v>87</v>
      </c>
      <c r="AZ58" s="2">
        <v>1</v>
      </c>
      <c r="BA58" s="2">
        <v>1</v>
      </c>
      <c r="BB58" s="14">
        <v>27000</v>
      </c>
      <c r="BC58" s="2">
        <v>7</v>
      </c>
      <c r="BD58" s="2">
        <v>1</v>
      </c>
      <c r="BE58" s="2" t="s">
        <v>105</v>
      </c>
      <c r="BF58" s="2">
        <v>0</v>
      </c>
      <c r="BG58" s="23" t="str">
        <f t="shared" si="27"/>
        <v>LB-X  2 Auto-Cannon</v>
      </c>
      <c r="BH58" s="23">
        <f t="shared" si="28"/>
        <v>4</v>
      </c>
      <c r="BI58" s="23">
        <f t="shared" si="29"/>
        <v>6</v>
      </c>
      <c r="BJ58" s="23">
        <f t="shared" si="30"/>
        <v>150000</v>
      </c>
      <c r="BK58" s="23">
        <f t="shared" si="31"/>
        <v>42</v>
      </c>
      <c r="BL58" s="23">
        <f t="shared" si="32"/>
        <v>2</v>
      </c>
      <c r="BM58" s="23" t="str">
        <f t="shared" si="33"/>
        <v>Autox0</v>
      </c>
      <c r="BN58" s="23">
        <f t="shared" si="34"/>
        <v>6</v>
      </c>
    </row>
    <row r="59" spans="1:66">
      <c r="A59" s="17">
        <v>0</v>
      </c>
      <c r="B59" s="32" t="s">
        <v>229</v>
      </c>
      <c r="C59" s="11" t="s">
        <v>44</v>
      </c>
      <c r="F59" s="2">
        <f t="shared" si="12"/>
        <v>0</v>
      </c>
      <c r="H59" s="2">
        <f t="shared" si="13"/>
        <v>0</v>
      </c>
      <c r="I59" s="2">
        <f t="shared" si="25"/>
        <v>5.0000000000000044E-2</v>
      </c>
      <c r="J59" s="2">
        <f t="shared" si="14"/>
        <v>0</v>
      </c>
      <c r="K59" s="31"/>
      <c r="L59" s="2">
        <f t="shared" si="15"/>
        <v>0</v>
      </c>
      <c r="M59" s="2">
        <f t="shared" si="16"/>
        <v>0</v>
      </c>
      <c r="N59" s="2">
        <f t="shared" si="0"/>
        <v>0</v>
      </c>
      <c r="O59" s="2">
        <f t="shared" si="17"/>
        <v>0</v>
      </c>
      <c r="P59" s="2">
        <f t="shared" si="18"/>
        <v>0</v>
      </c>
      <c r="Q59" s="2">
        <f t="shared" si="35"/>
        <v>0</v>
      </c>
      <c r="S59" s="18">
        <f t="shared" si="20"/>
        <v>0</v>
      </c>
      <c r="T59" s="2">
        <f t="shared" si="21"/>
        <v>0</v>
      </c>
      <c r="U59" s="2">
        <f t="shared" si="22"/>
        <v>0</v>
      </c>
      <c r="V59" s="2">
        <f t="shared" si="23"/>
        <v>0</v>
      </c>
      <c r="W59" s="2">
        <f t="shared" si="24"/>
        <v>0</v>
      </c>
      <c r="AM59" s="2">
        <f t="shared" si="9"/>
        <v>35</v>
      </c>
      <c r="AN59" s="4" t="s">
        <v>171</v>
      </c>
      <c r="AO59" s="2">
        <v>1</v>
      </c>
      <c r="AP59" s="2">
        <v>1</v>
      </c>
      <c r="AQ59" s="14">
        <v>15000</v>
      </c>
      <c r="AR59" s="2">
        <v>10</v>
      </c>
      <c r="AS59" s="2">
        <v>2</v>
      </c>
      <c r="AT59" s="2" t="s">
        <v>105</v>
      </c>
      <c r="AU59" s="2">
        <v>0</v>
      </c>
      <c r="AX59" s="2">
        <v>35</v>
      </c>
      <c r="AY59" s="4" t="s">
        <v>180</v>
      </c>
      <c r="AZ59" s="2">
        <f>ROUNDUP(SUM($P$39:$P$79)/5,0)</f>
        <v>0</v>
      </c>
      <c r="BA59" s="2">
        <f>ROUNDUP(SUM($P$39:$P$79)/5,0)</f>
        <v>0</v>
      </c>
      <c r="BB59" s="14">
        <f>10000*BA59</f>
        <v>0</v>
      </c>
      <c r="BC59" s="2">
        <f>SUM($Q$30:$Q$70)*0.2</f>
        <v>0</v>
      </c>
      <c r="BD59" s="2">
        <v>2</v>
      </c>
      <c r="BE59" s="2" t="s">
        <v>138</v>
      </c>
      <c r="BF59" s="2">
        <v>0</v>
      </c>
      <c r="BG59" s="23" t="str">
        <f t="shared" si="27"/>
        <v>LB-X  5 (Ammo 20 Cluster)</v>
      </c>
      <c r="BH59" s="23">
        <f t="shared" si="28"/>
        <v>1</v>
      </c>
      <c r="BI59" s="23">
        <f t="shared" si="29"/>
        <v>1</v>
      </c>
      <c r="BJ59" s="23">
        <f t="shared" si="30"/>
        <v>15000</v>
      </c>
      <c r="BK59" s="23">
        <f t="shared" si="31"/>
        <v>10</v>
      </c>
      <c r="BL59" s="23">
        <f t="shared" si="32"/>
        <v>2</v>
      </c>
      <c r="BM59" s="23" t="str">
        <f t="shared" si="33"/>
        <v>Ammo</v>
      </c>
      <c r="BN59" s="23">
        <f t="shared" si="34"/>
        <v>0</v>
      </c>
    </row>
    <row r="60" spans="1:66">
      <c r="A60" s="17">
        <v>0</v>
      </c>
      <c r="B60" s="32" t="s">
        <v>229</v>
      </c>
      <c r="C60" s="11" t="s">
        <v>44</v>
      </c>
      <c r="F60" s="2">
        <f t="shared" si="12"/>
        <v>0</v>
      </c>
      <c r="H60" s="2">
        <f t="shared" si="13"/>
        <v>0</v>
      </c>
      <c r="I60" s="2">
        <f t="shared" si="25"/>
        <v>5.0000000000000044E-2</v>
      </c>
      <c r="J60" s="2">
        <f t="shared" si="14"/>
        <v>0</v>
      </c>
      <c r="K60" s="31"/>
      <c r="L60" s="2">
        <f t="shared" si="15"/>
        <v>0</v>
      </c>
      <c r="M60" s="2">
        <f t="shared" si="16"/>
        <v>0</v>
      </c>
      <c r="N60" s="2">
        <f t="shared" si="0"/>
        <v>0</v>
      </c>
      <c r="O60" s="2">
        <f t="shared" si="17"/>
        <v>0</v>
      </c>
      <c r="P60" s="2">
        <f t="shared" si="18"/>
        <v>0</v>
      </c>
      <c r="Q60" s="2">
        <f t="shared" si="35"/>
        <v>0</v>
      </c>
      <c r="S60" s="18">
        <f t="shared" si="20"/>
        <v>0</v>
      </c>
      <c r="T60" s="2">
        <f t="shared" si="21"/>
        <v>0</v>
      </c>
      <c r="U60" s="2">
        <f t="shared" si="22"/>
        <v>0</v>
      </c>
      <c r="V60" s="2">
        <f t="shared" si="23"/>
        <v>0</v>
      </c>
      <c r="W60" s="2">
        <f t="shared" si="24"/>
        <v>0</v>
      </c>
      <c r="AM60" s="2">
        <f t="shared" si="9"/>
        <v>36</v>
      </c>
      <c r="AN60" s="4" t="s">
        <v>172</v>
      </c>
      <c r="AO60" s="2">
        <v>1</v>
      </c>
      <c r="AP60" s="2">
        <v>1</v>
      </c>
      <c r="AQ60" s="14">
        <v>9000</v>
      </c>
      <c r="AR60" s="2">
        <v>10</v>
      </c>
      <c r="AS60" s="2">
        <v>2</v>
      </c>
      <c r="AT60" s="2" t="s">
        <v>105</v>
      </c>
      <c r="AU60" s="2">
        <v>0</v>
      </c>
      <c r="AX60" s="2">
        <v>36</v>
      </c>
      <c r="BG60" s="23" t="str">
        <f t="shared" si="27"/>
        <v>LB-X  5 (Ammo 20 Slug)</v>
      </c>
      <c r="BH60" s="23">
        <f t="shared" si="28"/>
        <v>1</v>
      </c>
      <c r="BI60" s="23">
        <f t="shared" si="29"/>
        <v>1</v>
      </c>
      <c r="BJ60" s="23">
        <f t="shared" si="30"/>
        <v>9000</v>
      </c>
      <c r="BK60" s="23">
        <f t="shared" si="31"/>
        <v>10</v>
      </c>
      <c r="BL60" s="23">
        <f t="shared" si="32"/>
        <v>2</v>
      </c>
      <c r="BM60" s="23" t="str">
        <f t="shared" si="33"/>
        <v>Ammo</v>
      </c>
      <c r="BN60" s="23">
        <f t="shared" si="34"/>
        <v>0</v>
      </c>
    </row>
    <row r="61" spans="1:66">
      <c r="A61" s="17">
        <v>0</v>
      </c>
      <c r="B61" s="32" t="s">
        <v>229</v>
      </c>
      <c r="C61" s="11" t="s">
        <v>44</v>
      </c>
      <c r="F61" s="2">
        <f t="shared" si="12"/>
        <v>0</v>
      </c>
      <c r="H61" s="2">
        <f t="shared" si="13"/>
        <v>0</v>
      </c>
      <c r="I61" s="2">
        <f t="shared" si="25"/>
        <v>5.0000000000000044E-2</v>
      </c>
      <c r="J61" s="2">
        <f t="shared" si="14"/>
        <v>0</v>
      </c>
      <c r="K61" s="31"/>
      <c r="L61" s="2">
        <f t="shared" si="15"/>
        <v>0</v>
      </c>
      <c r="M61" s="2">
        <f t="shared" si="16"/>
        <v>0</v>
      </c>
      <c r="N61" s="2">
        <f t="shared" si="0"/>
        <v>0</v>
      </c>
      <c r="O61" s="2">
        <f t="shared" si="17"/>
        <v>0</v>
      </c>
      <c r="P61" s="2">
        <f t="shared" si="18"/>
        <v>0</v>
      </c>
      <c r="Q61" s="2">
        <f t="shared" si="35"/>
        <v>0</v>
      </c>
      <c r="S61" s="18">
        <f t="shared" si="20"/>
        <v>0</v>
      </c>
      <c r="T61" s="2">
        <f t="shared" si="21"/>
        <v>0</v>
      </c>
      <c r="U61" s="2">
        <f t="shared" si="22"/>
        <v>0</v>
      </c>
      <c r="V61" s="2">
        <f t="shared" si="23"/>
        <v>0</v>
      </c>
      <c r="W61" s="2">
        <f t="shared" si="24"/>
        <v>0</v>
      </c>
      <c r="AM61" s="2">
        <f t="shared" si="9"/>
        <v>37</v>
      </c>
      <c r="AN61" s="4" t="s">
        <v>202</v>
      </c>
      <c r="AO61" s="2">
        <v>5</v>
      </c>
      <c r="AP61" s="2">
        <v>8</v>
      </c>
      <c r="AQ61" s="14">
        <v>250000</v>
      </c>
      <c r="AR61" s="2">
        <v>83</v>
      </c>
      <c r="AS61" s="2">
        <v>2</v>
      </c>
      <c r="AT61" s="2" t="s">
        <v>126</v>
      </c>
      <c r="AU61" s="2">
        <f>+AP61</f>
        <v>8</v>
      </c>
      <c r="AX61" s="2">
        <v>37</v>
      </c>
      <c r="BG61" s="23" t="str">
        <f t="shared" si="27"/>
        <v>LB-X  5 Auto-Cannon</v>
      </c>
      <c r="BH61" s="23">
        <f t="shared" si="28"/>
        <v>5</v>
      </c>
      <c r="BI61" s="23">
        <f t="shared" si="29"/>
        <v>8</v>
      </c>
      <c r="BJ61" s="23">
        <f t="shared" si="30"/>
        <v>250000</v>
      </c>
      <c r="BK61" s="23">
        <f t="shared" si="31"/>
        <v>83</v>
      </c>
      <c r="BL61" s="23">
        <f t="shared" si="32"/>
        <v>2</v>
      </c>
      <c r="BM61" s="23" t="str">
        <f t="shared" si="33"/>
        <v>Autox1</v>
      </c>
      <c r="BN61" s="23">
        <f t="shared" si="34"/>
        <v>8</v>
      </c>
    </row>
    <row r="62" spans="1:66">
      <c r="A62" s="17">
        <v>0</v>
      </c>
      <c r="B62" s="32" t="s">
        <v>229</v>
      </c>
      <c r="C62" s="11" t="s">
        <v>44</v>
      </c>
      <c r="F62" s="2">
        <f t="shared" si="12"/>
        <v>0</v>
      </c>
      <c r="H62" s="2">
        <f t="shared" si="13"/>
        <v>0</v>
      </c>
      <c r="I62" s="2">
        <f t="shared" si="25"/>
        <v>5.0000000000000044E-2</v>
      </c>
      <c r="J62" s="2">
        <f t="shared" si="14"/>
        <v>0</v>
      </c>
      <c r="K62" s="31"/>
      <c r="L62" s="2">
        <f t="shared" si="15"/>
        <v>0</v>
      </c>
      <c r="M62" s="2">
        <f t="shared" si="16"/>
        <v>0</v>
      </c>
      <c r="N62" s="2">
        <f t="shared" si="0"/>
        <v>0</v>
      </c>
      <c r="O62" s="2">
        <f t="shared" si="17"/>
        <v>0</v>
      </c>
      <c r="P62" s="2">
        <f t="shared" si="18"/>
        <v>0</v>
      </c>
      <c r="Q62" s="2">
        <f t="shared" si="35"/>
        <v>0</v>
      </c>
      <c r="S62" s="18">
        <f t="shared" si="20"/>
        <v>0</v>
      </c>
      <c r="T62" s="2">
        <f t="shared" si="21"/>
        <v>0</v>
      </c>
      <c r="U62" s="2">
        <f t="shared" si="22"/>
        <v>0</v>
      </c>
      <c r="V62" s="2">
        <f t="shared" si="23"/>
        <v>0</v>
      </c>
      <c r="W62" s="2">
        <f t="shared" si="24"/>
        <v>0</v>
      </c>
      <c r="AM62" s="2">
        <f t="shared" si="9"/>
        <v>38</v>
      </c>
      <c r="AN62" s="4" t="s">
        <v>101</v>
      </c>
      <c r="AO62" s="2">
        <v>1</v>
      </c>
      <c r="AP62" s="2">
        <v>1</v>
      </c>
      <c r="AQ62" s="14">
        <v>20000</v>
      </c>
      <c r="AR62" s="2">
        <v>19</v>
      </c>
      <c r="AS62" s="2">
        <v>2</v>
      </c>
      <c r="AT62" s="2" t="s">
        <v>105</v>
      </c>
      <c r="AU62" s="2">
        <v>0</v>
      </c>
      <c r="AX62" s="2">
        <v>38</v>
      </c>
      <c r="BG62" s="23" t="str">
        <f t="shared" si="27"/>
        <v>LB-X 10 (Ammo 10 Cluster)</v>
      </c>
      <c r="BH62" s="23">
        <f t="shared" si="28"/>
        <v>1</v>
      </c>
      <c r="BI62" s="23">
        <f t="shared" si="29"/>
        <v>1</v>
      </c>
      <c r="BJ62" s="23">
        <f t="shared" si="30"/>
        <v>20000</v>
      </c>
      <c r="BK62" s="23">
        <f t="shared" si="31"/>
        <v>19</v>
      </c>
      <c r="BL62" s="23">
        <f t="shared" si="32"/>
        <v>2</v>
      </c>
      <c r="BM62" s="23" t="str">
        <f t="shared" si="33"/>
        <v>Ammo</v>
      </c>
      <c r="BN62" s="23">
        <f t="shared" si="34"/>
        <v>0</v>
      </c>
    </row>
    <row r="63" spans="1:66">
      <c r="A63" s="17">
        <v>0</v>
      </c>
      <c r="B63" s="32" t="s">
        <v>229</v>
      </c>
      <c r="C63" s="11" t="s">
        <v>44</v>
      </c>
      <c r="F63" s="2">
        <f t="shared" si="12"/>
        <v>0</v>
      </c>
      <c r="H63" s="2">
        <f t="shared" si="13"/>
        <v>0</v>
      </c>
      <c r="I63" s="2">
        <f t="shared" si="25"/>
        <v>5.0000000000000044E-2</v>
      </c>
      <c r="J63" s="2">
        <f t="shared" si="14"/>
        <v>0</v>
      </c>
      <c r="K63" s="31"/>
      <c r="L63" s="2">
        <f t="shared" si="15"/>
        <v>0</v>
      </c>
      <c r="M63" s="2">
        <f t="shared" si="16"/>
        <v>0</v>
      </c>
      <c r="N63" s="2">
        <f t="shared" si="0"/>
        <v>0</v>
      </c>
      <c r="O63" s="2">
        <f t="shared" si="17"/>
        <v>0</v>
      </c>
      <c r="P63" s="2">
        <f t="shared" si="18"/>
        <v>0</v>
      </c>
      <c r="Q63" s="2">
        <f t="shared" si="35"/>
        <v>0</v>
      </c>
      <c r="S63" s="18">
        <f t="shared" si="20"/>
        <v>0</v>
      </c>
      <c r="T63" s="2">
        <f t="shared" si="21"/>
        <v>0</v>
      </c>
      <c r="U63" s="2">
        <f t="shared" si="22"/>
        <v>0</v>
      </c>
      <c r="V63" s="2">
        <f t="shared" si="23"/>
        <v>0</v>
      </c>
      <c r="W63" s="2">
        <f t="shared" si="24"/>
        <v>0</v>
      </c>
      <c r="AM63" s="2">
        <f t="shared" si="9"/>
        <v>39</v>
      </c>
      <c r="AN63" s="4" t="s">
        <v>103</v>
      </c>
      <c r="AO63" s="2">
        <v>1</v>
      </c>
      <c r="AP63" s="2">
        <v>1</v>
      </c>
      <c r="AQ63" s="14">
        <v>12000</v>
      </c>
      <c r="AR63" s="2">
        <v>19</v>
      </c>
      <c r="AS63" s="2">
        <v>2</v>
      </c>
      <c r="AT63" s="2" t="s">
        <v>105</v>
      </c>
      <c r="AU63" s="2">
        <v>0</v>
      </c>
      <c r="AX63" s="2">
        <v>39</v>
      </c>
      <c r="BG63" s="23" t="str">
        <f t="shared" si="27"/>
        <v>LB-X 10 (Ammo 10 Slug)</v>
      </c>
      <c r="BH63" s="23">
        <f t="shared" si="28"/>
        <v>1</v>
      </c>
      <c r="BI63" s="23">
        <f t="shared" si="29"/>
        <v>1</v>
      </c>
      <c r="BJ63" s="23">
        <f t="shared" si="30"/>
        <v>12000</v>
      </c>
      <c r="BK63" s="23">
        <f t="shared" si="31"/>
        <v>19</v>
      </c>
      <c r="BL63" s="23">
        <f t="shared" si="32"/>
        <v>2</v>
      </c>
      <c r="BM63" s="23" t="str">
        <f t="shared" si="33"/>
        <v>Ammo</v>
      </c>
      <c r="BN63" s="23">
        <f t="shared" si="34"/>
        <v>0</v>
      </c>
    </row>
    <row r="64" spans="1:66">
      <c r="A64" s="17">
        <v>0</v>
      </c>
      <c r="B64" s="32" t="s">
        <v>229</v>
      </c>
      <c r="C64" s="11" t="s">
        <v>44</v>
      </c>
      <c r="F64" s="2">
        <f t="shared" si="12"/>
        <v>0</v>
      </c>
      <c r="H64" s="2">
        <f t="shared" si="13"/>
        <v>0</v>
      </c>
      <c r="I64" s="2">
        <f t="shared" si="25"/>
        <v>5.0000000000000044E-2</v>
      </c>
      <c r="J64" s="2">
        <f t="shared" si="14"/>
        <v>0</v>
      </c>
      <c r="K64" s="31"/>
      <c r="L64" s="2">
        <f t="shared" si="15"/>
        <v>0</v>
      </c>
      <c r="M64" s="2">
        <f t="shared" si="16"/>
        <v>0</v>
      </c>
      <c r="N64" s="2">
        <f t="shared" si="0"/>
        <v>0</v>
      </c>
      <c r="O64" s="2">
        <f t="shared" si="17"/>
        <v>0</v>
      </c>
      <c r="P64" s="2">
        <f t="shared" si="18"/>
        <v>0</v>
      </c>
      <c r="Q64" s="2">
        <f t="shared" si="35"/>
        <v>0</v>
      </c>
      <c r="S64" s="18">
        <f t="shared" si="20"/>
        <v>0</v>
      </c>
      <c r="T64" s="2">
        <f t="shared" si="21"/>
        <v>0</v>
      </c>
      <c r="U64" s="2">
        <f t="shared" si="22"/>
        <v>0</v>
      </c>
      <c r="V64" s="2">
        <f t="shared" si="23"/>
        <v>0</v>
      </c>
      <c r="W64" s="2">
        <f t="shared" si="24"/>
        <v>0</v>
      </c>
      <c r="AM64" s="2">
        <f t="shared" si="9"/>
        <v>40</v>
      </c>
      <c r="AN64" s="4" t="s">
        <v>192</v>
      </c>
      <c r="AO64" s="2">
        <v>6</v>
      </c>
      <c r="AP64" s="2">
        <v>11</v>
      </c>
      <c r="AQ64" s="14">
        <v>400000</v>
      </c>
      <c r="AR64" s="2">
        <v>148</v>
      </c>
      <c r="AS64" s="2">
        <v>2</v>
      </c>
      <c r="AT64" s="2" t="s">
        <v>128</v>
      </c>
      <c r="AU64" s="2">
        <f>+AP64</f>
        <v>11</v>
      </c>
      <c r="AX64" s="2">
        <v>40</v>
      </c>
      <c r="BG64" s="23" t="str">
        <f t="shared" si="27"/>
        <v>LB-X 10 Auto-Cannon</v>
      </c>
      <c r="BH64" s="23">
        <f t="shared" si="28"/>
        <v>6</v>
      </c>
      <c r="BI64" s="23">
        <f t="shared" si="29"/>
        <v>11</v>
      </c>
      <c r="BJ64" s="23">
        <f t="shared" si="30"/>
        <v>400000</v>
      </c>
      <c r="BK64" s="23">
        <f t="shared" si="31"/>
        <v>148</v>
      </c>
      <c r="BL64" s="23">
        <f t="shared" si="32"/>
        <v>2</v>
      </c>
      <c r="BM64" s="23" t="str">
        <f t="shared" si="33"/>
        <v>Autox2</v>
      </c>
      <c r="BN64" s="23">
        <f t="shared" si="34"/>
        <v>11</v>
      </c>
    </row>
    <row r="65" spans="1:66">
      <c r="A65" s="17">
        <v>0</v>
      </c>
      <c r="B65" s="32" t="s">
        <v>229</v>
      </c>
      <c r="C65" s="11" t="s">
        <v>44</v>
      </c>
      <c r="F65" s="2">
        <f t="shared" si="12"/>
        <v>0</v>
      </c>
      <c r="H65" s="2">
        <f t="shared" si="13"/>
        <v>0</v>
      </c>
      <c r="I65" s="2">
        <f t="shared" si="25"/>
        <v>5.0000000000000044E-2</v>
      </c>
      <c r="J65" s="2">
        <f t="shared" si="14"/>
        <v>0</v>
      </c>
      <c r="K65" s="31"/>
      <c r="L65" s="2">
        <f t="shared" si="15"/>
        <v>0</v>
      </c>
      <c r="M65" s="2">
        <f t="shared" si="16"/>
        <v>0</v>
      </c>
      <c r="N65" s="2">
        <f t="shared" si="0"/>
        <v>0</v>
      </c>
      <c r="O65" s="2">
        <f t="shared" si="17"/>
        <v>0</v>
      </c>
      <c r="P65" s="2">
        <f t="shared" si="18"/>
        <v>0</v>
      </c>
      <c r="Q65" s="2">
        <f t="shared" si="35"/>
        <v>0</v>
      </c>
      <c r="S65" s="18">
        <f t="shared" si="20"/>
        <v>0</v>
      </c>
      <c r="T65" s="2">
        <f t="shared" si="21"/>
        <v>0</v>
      </c>
      <c r="U65" s="2">
        <f t="shared" si="22"/>
        <v>0</v>
      </c>
      <c r="V65" s="2">
        <f t="shared" si="23"/>
        <v>0</v>
      </c>
      <c r="W65" s="2">
        <f t="shared" si="24"/>
        <v>0</v>
      </c>
      <c r="AM65" s="2">
        <f t="shared" si="9"/>
        <v>41</v>
      </c>
      <c r="AN65" s="4" t="s">
        <v>102</v>
      </c>
      <c r="AO65" s="2">
        <v>1</v>
      </c>
      <c r="AP65" s="2">
        <v>1</v>
      </c>
      <c r="AQ65" s="14">
        <v>34000</v>
      </c>
      <c r="AR65" s="2">
        <v>27</v>
      </c>
      <c r="AS65" s="2">
        <v>2</v>
      </c>
      <c r="AT65" s="2" t="s">
        <v>105</v>
      </c>
      <c r="AU65" s="2">
        <v>0</v>
      </c>
      <c r="AX65" s="2">
        <v>41</v>
      </c>
      <c r="BG65" s="23" t="str">
        <f t="shared" si="27"/>
        <v>LB-X 20 (Ammo 5 Cluster)</v>
      </c>
      <c r="BH65" s="23">
        <f t="shared" si="28"/>
        <v>1</v>
      </c>
      <c r="BI65" s="23">
        <f t="shared" si="29"/>
        <v>1</v>
      </c>
      <c r="BJ65" s="23">
        <f t="shared" si="30"/>
        <v>34000</v>
      </c>
      <c r="BK65" s="23">
        <f t="shared" si="31"/>
        <v>27</v>
      </c>
      <c r="BL65" s="23">
        <f t="shared" si="32"/>
        <v>2</v>
      </c>
      <c r="BM65" s="23" t="str">
        <f t="shared" si="33"/>
        <v>Ammo</v>
      </c>
      <c r="BN65" s="23">
        <f t="shared" si="34"/>
        <v>0</v>
      </c>
    </row>
    <row r="66" spans="1:66">
      <c r="A66" s="17">
        <v>0</v>
      </c>
      <c r="B66" s="32" t="s">
        <v>229</v>
      </c>
      <c r="C66" s="11" t="s">
        <v>44</v>
      </c>
      <c r="F66" s="2">
        <f t="shared" si="12"/>
        <v>0</v>
      </c>
      <c r="H66" s="2">
        <f t="shared" si="13"/>
        <v>0</v>
      </c>
      <c r="I66" s="2">
        <f t="shared" si="25"/>
        <v>5.0000000000000044E-2</v>
      </c>
      <c r="J66" s="2">
        <f t="shared" si="14"/>
        <v>0</v>
      </c>
      <c r="K66" s="31"/>
      <c r="L66" s="2">
        <f t="shared" si="15"/>
        <v>0</v>
      </c>
      <c r="M66" s="2">
        <f t="shared" si="16"/>
        <v>0</v>
      </c>
      <c r="N66" s="2">
        <f t="shared" si="0"/>
        <v>0</v>
      </c>
      <c r="O66" s="2">
        <f t="shared" si="17"/>
        <v>0</v>
      </c>
      <c r="P66" s="2">
        <f t="shared" si="18"/>
        <v>0</v>
      </c>
      <c r="Q66" s="2">
        <f t="shared" si="35"/>
        <v>0</v>
      </c>
      <c r="S66" s="18">
        <f t="shared" si="20"/>
        <v>0</v>
      </c>
      <c r="T66" s="2">
        <f t="shared" si="21"/>
        <v>0</v>
      </c>
      <c r="U66" s="2">
        <f t="shared" si="22"/>
        <v>0</v>
      </c>
      <c r="V66" s="2">
        <f t="shared" si="23"/>
        <v>0</v>
      </c>
      <c r="W66" s="2">
        <f t="shared" si="24"/>
        <v>0</v>
      </c>
      <c r="AM66" s="2">
        <f t="shared" si="9"/>
        <v>42</v>
      </c>
      <c r="AN66" s="4" t="s">
        <v>104</v>
      </c>
      <c r="AO66" s="2">
        <v>1</v>
      </c>
      <c r="AP66" s="2">
        <v>1</v>
      </c>
      <c r="AQ66" s="14">
        <v>20000</v>
      </c>
      <c r="AR66" s="2">
        <v>27</v>
      </c>
      <c r="AS66" s="2">
        <v>2</v>
      </c>
      <c r="AT66" s="2" t="s">
        <v>105</v>
      </c>
      <c r="AU66" s="2">
        <v>0</v>
      </c>
      <c r="AX66" s="2">
        <v>42</v>
      </c>
      <c r="BG66" s="23" t="str">
        <f t="shared" si="27"/>
        <v>LB-X 20 (Ammo 5 Slug)</v>
      </c>
      <c r="BH66" s="23">
        <f t="shared" si="28"/>
        <v>1</v>
      </c>
      <c r="BI66" s="23">
        <f t="shared" si="29"/>
        <v>1</v>
      </c>
      <c r="BJ66" s="23">
        <f t="shared" si="30"/>
        <v>20000</v>
      </c>
      <c r="BK66" s="23">
        <f t="shared" si="31"/>
        <v>27</v>
      </c>
      <c r="BL66" s="23">
        <f t="shared" si="32"/>
        <v>2</v>
      </c>
      <c r="BM66" s="23" t="str">
        <f t="shared" si="33"/>
        <v>Ammo</v>
      </c>
      <c r="BN66" s="23">
        <f t="shared" si="34"/>
        <v>0</v>
      </c>
    </row>
    <row r="67" spans="1:66">
      <c r="A67" s="17">
        <v>0</v>
      </c>
      <c r="B67" s="32" t="s">
        <v>229</v>
      </c>
      <c r="C67" s="11" t="s">
        <v>44</v>
      </c>
      <c r="F67" s="2">
        <f t="shared" si="12"/>
        <v>0</v>
      </c>
      <c r="H67" s="2">
        <f t="shared" si="13"/>
        <v>0</v>
      </c>
      <c r="I67" s="2">
        <f t="shared" si="25"/>
        <v>5.0000000000000044E-2</v>
      </c>
      <c r="J67" s="2">
        <f t="shared" si="14"/>
        <v>0</v>
      </c>
      <c r="K67" s="31"/>
      <c r="L67" s="2">
        <f t="shared" si="15"/>
        <v>0</v>
      </c>
      <c r="M67" s="2">
        <f t="shared" si="16"/>
        <v>0</v>
      </c>
      <c r="N67" s="2">
        <f t="shared" si="0"/>
        <v>0</v>
      </c>
      <c r="O67" s="2">
        <f t="shared" si="17"/>
        <v>0</v>
      </c>
      <c r="P67" s="2">
        <f t="shared" si="18"/>
        <v>0</v>
      </c>
      <c r="Q67" s="2">
        <f t="shared" si="35"/>
        <v>0</v>
      </c>
      <c r="S67" s="18">
        <f t="shared" si="20"/>
        <v>0</v>
      </c>
      <c r="T67" s="2">
        <f t="shared" si="21"/>
        <v>0</v>
      </c>
      <c r="U67" s="2">
        <f t="shared" si="22"/>
        <v>0</v>
      </c>
      <c r="V67" s="2">
        <f t="shared" si="23"/>
        <v>0</v>
      </c>
      <c r="W67" s="2">
        <f t="shared" si="24"/>
        <v>0</v>
      </c>
      <c r="AM67" s="2">
        <f t="shared" si="9"/>
        <v>43</v>
      </c>
      <c r="AN67" s="4" t="s">
        <v>191</v>
      </c>
      <c r="AO67" s="2">
        <v>11</v>
      </c>
      <c r="AP67" s="2">
        <v>14</v>
      </c>
      <c r="AQ67" s="14">
        <v>600000</v>
      </c>
      <c r="AR67" s="2">
        <v>237</v>
      </c>
      <c r="AS67" s="2">
        <v>2</v>
      </c>
      <c r="AT67" s="2" t="s">
        <v>130</v>
      </c>
      <c r="AU67" s="2">
        <f>+AP67</f>
        <v>14</v>
      </c>
      <c r="AX67" s="2">
        <v>43</v>
      </c>
      <c r="BG67" s="23" t="str">
        <f t="shared" si="27"/>
        <v>LB-X 20 Auto-Cannon</v>
      </c>
      <c r="BH67" s="23">
        <f t="shared" si="28"/>
        <v>11</v>
      </c>
      <c r="BI67" s="23">
        <f t="shared" si="29"/>
        <v>14</v>
      </c>
      <c r="BJ67" s="23">
        <f t="shared" si="30"/>
        <v>600000</v>
      </c>
      <c r="BK67" s="23">
        <f t="shared" si="31"/>
        <v>237</v>
      </c>
      <c r="BL67" s="23">
        <f t="shared" si="32"/>
        <v>2</v>
      </c>
      <c r="BM67" s="23" t="str">
        <f t="shared" si="33"/>
        <v>Autox3</v>
      </c>
      <c r="BN67" s="23">
        <f t="shared" si="34"/>
        <v>14</v>
      </c>
    </row>
    <row r="68" spans="1:66">
      <c r="A68" s="17">
        <v>0</v>
      </c>
      <c r="B68" s="32" t="s">
        <v>229</v>
      </c>
      <c r="C68" s="11" t="s">
        <v>44</v>
      </c>
      <c r="F68" s="2">
        <f t="shared" si="12"/>
        <v>0</v>
      </c>
      <c r="H68" s="2">
        <f t="shared" si="13"/>
        <v>0</v>
      </c>
      <c r="I68" s="2">
        <f t="shared" si="25"/>
        <v>5.0000000000000044E-2</v>
      </c>
      <c r="J68" s="2">
        <f t="shared" si="14"/>
        <v>0</v>
      </c>
      <c r="K68" s="31"/>
      <c r="L68" s="2">
        <f t="shared" si="15"/>
        <v>0</v>
      </c>
      <c r="M68" s="2">
        <f t="shared" si="16"/>
        <v>0</v>
      </c>
      <c r="N68" s="2">
        <f t="shared" si="0"/>
        <v>0</v>
      </c>
      <c r="O68" s="2">
        <f t="shared" si="17"/>
        <v>0</v>
      </c>
      <c r="P68" s="2">
        <f t="shared" si="18"/>
        <v>0</v>
      </c>
      <c r="Q68" s="2">
        <f t="shared" si="35"/>
        <v>0</v>
      </c>
      <c r="S68" s="18">
        <f t="shared" si="20"/>
        <v>0</v>
      </c>
      <c r="T68" s="2">
        <f t="shared" si="21"/>
        <v>0</v>
      </c>
      <c r="U68" s="2">
        <f t="shared" si="22"/>
        <v>0</v>
      </c>
      <c r="V68" s="2">
        <f t="shared" si="23"/>
        <v>0</v>
      </c>
      <c r="W68" s="2">
        <f t="shared" si="24"/>
        <v>0</v>
      </c>
      <c r="AM68" s="2">
        <f t="shared" si="9"/>
        <v>44</v>
      </c>
      <c r="AN68" s="4" t="s">
        <v>177</v>
      </c>
      <c r="AO68" s="2">
        <v>1</v>
      </c>
      <c r="AP68" s="2">
        <v>2</v>
      </c>
      <c r="AQ68" s="14">
        <v>30000</v>
      </c>
      <c r="AR68" s="2">
        <v>45</v>
      </c>
      <c r="AS68" s="2">
        <v>1</v>
      </c>
      <c r="AT68" s="2" t="s">
        <v>107</v>
      </c>
      <c r="AU68" s="2">
        <v>0</v>
      </c>
      <c r="AX68" s="2">
        <v>44</v>
      </c>
      <c r="BG68" s="23" t="str">
        <f t="shared" si="27"/>
        <v>LRM- 5</v>
      </c>
      <c r="BH68" s="23">
        <f t="shared" si="28"/>
        <v>1</v>
      </c>
      <c r="BI68" s="23">
        <f t="shared" si="29"/>
        <v>2</v>
      </c>
      <c r="BJ68" s="23">
        <f t="shared" si="30"/>
        <v>30000</v>
      </c>
      <c r="BK68" s="23">
        <f t="shared" si="31"/>
        <v>45</v>
      </c>
      <c r="BL68" s="23">
        <f t="shared" si="32"/>
        <v>1</v>
      </c>
      <c r="BM68" s="23" t="str">
        <f t="shared" si="33"/>
        <v>Missile</v>
      </c>
      <c r="BN68" s="23">
        <f t="shared" si="34"/>
        <v>0</v>
      </c>
    </row>
    <row r="69" spans="1:66">
      <c r="A69" s="17">
        <v>0</v>
      </c>
      <c r="B69" s="32" t="s">
        <v>229</v>
      </c>
      <c r="C69" s="11" t="s">
        <v>44</v>
      </c>
      <c r="F69" s="2">
        <f t="shared" si="12"/>
        <v>0</v>
      </c>
      <c r="H69" s="2">
        <f t="shared" si="13"/>
        <v>0</v>
      </c>
      <c r="I69" s="2">
        <f t="shared" si="25"/>
        <v>5.0000000000000044E-2</v>
      </c>
      <c r="J69" s="2">
        <f t="shared" si="14"/>
        <v>0</v>
      </c>
      <c r="K69" s="31"/>
      <c r="L69" s="2">
        <f t="shared" si="15"/>
        <v>0</v>
      </c>
      <c r="M69" s="2">
        <f t="shared" si="16"/>
        <v>0</v>
      </c>
      <c r="N69" s="2">
        <f t="shared" si="0"/>
        <v>0</v>
      </c>
      <c r="O69" s="2">
        <f t="shared" si="17"/>
        <v>0</v>
      </c>
      <c r="P69" s="2">
        <f t="shared" si="18"/>
        <v>0</v>
      </c>
      <c r="Q69" s="2">
        <f t="shared" si="35"/>
        <v>0</v>
      </c>
      <c r="S69" s="18">
        <f t="shared" si="20"/>
        <v>0</v>
      </c>
      <c r="T69" s="2">
        <f t="shared" si="21"/>
        <v>0</v>
      </c>
      <c r="U69" s="2">
        <f t="shared" si="22"/>
        <v>0</v>
      </c>
      <c r="V69" s="2">
        <f t="shared" si="23"/>
        <v>0</v>
      </c>
      <c r="W69" s="2">
        <f t="shared" si="24"/>
        <v>0</v>
      </c>
      <c r="AM69" s="2">
        <f t="shared" si="9"/>
        <v>45</v>
      </c>
      <c r="AN69" s="4" t="s">
        <v>217</v>
      </c>
      <c r="AO69" s="2">
        <v>2</v>
      </c>
      <c r="AP69" s="2">
        <v>3</v>
      </c>
      <c r="AQ69" s="14">
        <f>30000+100000</f>
        <v>130000</v>
      </c>
      <c r="AR69" s="2">
        <f>45*1.2</f>
        <v>54</v>
      </c>
      <c r="AS69" s="2">
        <v>1</v>
      </c>
      <c r="AT69" s="2" t="s">
        <v>107</v>
      </c>
      <c r="AU69" s="2">
        <v>0</v>
      </c>
      <c r="AX69" s="2">
        <v>45</v>
      </c>
      <c r="BG69" s="23" t="str">
        <f t="shared" si="27"/>
        <v>LRM- 5  w/Artemis IV FCS</v>
      </c>
      <c r="BH69" s="23">
        <f t="shared" si="28"/>
        <v>2</v>
      </c>
      <c r="BI69" s="23">
        <f t="shared" si="29"/>
        <v>3</v>
      </c>
      <c r="BJ69" s="23">
        <f t="shared" si="30"/>
        <v>130000</v>
      </c>
      <c r="BK69" s="23">
        <f t="shared" si="31"/>
        <v>54</v>
      </c>
      <c r="BL69" s="23">
        <f t="shared" si="32"/>
        <v>1</v>
      </c>
      <c r="BM69" s="23" t="str">
        <f t="shared" si="33"/>
        <v>Missile</v>
      </c>
      <c r="BN69" s="23">
        <f t="shared" si="34"/>
        <v>0</v>
      </c>
    </row>
    <row r="70" spans="1:66">
      <c r="A70" s="17">
        <v>0</v>
      </c>
      <c r="B70" s="32" t="s">
        <v>229</v>
      </c>
      <c r="C70" s="11" t="s">
        <v>44</v>
      </c>
      <c r="F70" s="2">
        <f t="shared" si="12"/>
        <v>0</v>
      </c>
      <c r="H70" s="2">
        <f t="shared" si="13"/>
        <v>0</v>
      </c>
      <c r="I70" s="2">
        <f t="shared" si="25"/>
        <v>5.0000000000000044E-2</v>
      </c>
      <c r="J70" s="2">
        <f t="shared" si="14"/>
        <v>0</v>
      </c>
      <c r="K70" s="31"/>
      <c r="L70" s="2">
        <f t="shared" si="15"/>
        <v>0</v>
      </c>
      <c r="M70" s="2">
        <f t="shared" si="16"/>
        <v>0</v>
      </c>
      <c r="N70" s="2">
        <f t="shared" ref="N70:N79" si="36">IF(M70&lt;N71,N71,IF(M70&lt;M71,M71,IF(M70&lt;N71,N71,M70)))</f>
        <v>0</v>
      </c>
      <c r="O70" s="2">
        <f t="shared" si="17"/>
        <v>0</v>
      </c>
      <c r="P70" s="2">
        <f t="shared" si="18"/>
        <v>0</v>
      </c>
      <c r="Q70" s="2">
        <f t="shared" si="35"/>
        <v>0</v>
      </c>
      <c r="S70" s="18">
        <f t="shared" si="20"/>
        <v>0</v>
      </c>
      <c r="T70" s="2">
        <f t="shared" si="21"/>
        <v>0</v>
      </c>
      <c r="U70" s="2">
        <f t="shared" si="22"/>
        <v>0</v>
      </c>
      <c r="V70" s="2">
        <f t="shared" si="23"/>
        <v>0</v>
      </c>
      <c r="W70" s="2">
        <f t="shared" si="24"/>
        <v>0</v>
      </c>
      <c r="AM70" s="2">
        <f t="shared" si="9"/>
        <v>46</v>
      </c>
      <c r="AN70" s="4" t="s">
        <v>173</v>
      </c>
      <c r="AO70" s="2">
        <v>1</v>
      </c>
      <c r="AP70" s="2">
        <v>1</v>
      </c>
      <c r="AQ70" s="14">
        <v>30000</v>
      </c>
      <c r="AR70" s="2">
        <v>23</v>
      </c>
      <c r="AS70" s="2">
        <v>1</v>
      </c>
      <c r="AT70" s="2" t="s">
        <v>105</v>
      </c>
      <c r="AU70" s="2">
        <v>0</v>
      </c>
      <c r="AX70" s="2">
        <v>46</v>
      </c>
      <c r="BG70" s="23" t="str">
        <f t="shared" si="27"/>
        <v>LRM- 5 (Ammo 24)</v>
      </c>
      <c r="BH70" s="23">
        <f t="shared" si="28"/>
        <v>1</v>
      </c>
      <c r="BI70" s="23">
        <f t="shared" si="29"/>
        <v>1</v>
      </c>
      <c r="BJ70" s="23">
        <f t="shared" si="30"/>
        <v>30000</v>
      </c>
      <c r="BK70" s="23">
        <f t="shared" si="31"/>
        <v>23</v>
      </c>
      <c r="BL70" s="23">
        <f t="shared" si="32"/>
        <v>1</v>
      </c>
      <c r="BM70" s="23" t="str">
        <f t="shared" si="33"/>
        <v>Ammo</v>
      </c>
      <c r="BN70" s="23">
        <f t="shared" si="34"/>
        <v>0</v>
      </c>
    </row>
    <row r="71" spans="1:66">
      <c r="A71" s="17">
        <v>0</v>
      </c>
      <c r="B71" s="32" t="s">
        <v>229</v>
      </c>
      <c r="C71" s="11" t="s">
        <v>44</v>
      </c>
      <c r="F71" s="2">
        <f t="shared" si="12"/>
        <v>0</v>
      </c>
      <c r="H71" s="2">
        <f t="shared" si="13"/>
        <v>0</v>
      </c>
      <c r="I71" s="2">
        <f t="shared" si="25"/>
        <v>5.0000000000000044E-2</v>
      </c>
      <c r="J71" s="2">
        <f t="shared" si="14"/>
        <v>0</v>
      </c>
      <c r="K71" s="31"/>
      <c r="L71" s="2">
        <f t="shared" si="15"/>
        <v>0</v>
      </c>
      <c r="M71" s="2">
        <f t="shared" si="16"/>
        <v>0</v>
      </c>
      <c r="N71" s="2">
        <f t="shared" si="36"/>
        <v>0</v>
      </c>
      <c r="O71" s="2">
        <f t="shared" si="17"/>
        <v>0</v>
      </c>
      <c r="P71" s="2">
        <f t="shared" si="18"/>
        <v>0</v>
      </c>
      <c r="Q71" s="2">
        <f t="shared" si="35"/>
        <v>0</v>
      </c>
      <c r="S71" s="18">
        <f t="shared" si="20"/>
        <v>0</v>
      </c>
      <c r="T71" s="2">
        <f t="shared" si="21"/>
        <v>0</v>
      </c>
      <c r="U71" s="2">
        <f t="shared" si="22"/>
        <v>0</v>
      </c>
      <c r="V71" s="2">
        <f t="shared" si="23"/>
        <v>0</v>
      </c>
      <c r="W71" s="2">
        <f t="shared" si="24"/>
        <v>0</v>
      </c>
      <c r="AM71" s="2">
        <f t="shared" si="9"/>
        <v>47</v>
      </c>
      <c r="AN71" s="4" t="s">
        <v>224</v>
      </c>
      <c r="AO71" s="2">
        <v>1</v>
      </c>
      <c r="AP71" s="2">
        <v>1</v>
      </c>
      <c r="AQ71" s="14">
        <f>30000*2</f>
        <v>60000</v>
      </c>
      <c r="AR71" s="2">
        <v>23</v>
      </c>
      <c r="AS71" s="2">
        <v>1</v>
      </c>
      <c r="AT71" s="2" t="s">
        <v>105</v>
      </c>
      <c r="AU71" s="2">
        <v>0</v>
      </c>
      <c r="AX71" s="2">
        <v>47</v>
      </c>
      <c r="BG71" s="23" t="str">
        <f t="shared" si="27"/>
        <v>LRM- 5 (Ammo 24)Artemis</v>
      </c>
      <c r="BH71" s="23">
        <f t="shared" si="28"/>
        <v>1</v>
      </c>
      <c r="BI71" s="23">
        <f t="shared" si="29"/>
        <v>1</v>
      </c>
      <c r="BJ71" s="23">
        <f t="shared" si="30"/>
        <v>60000</v>
      </c>
      <c r="BK71" s="23">
        <f t="shared" si="31"/>
        <v>23</v>
      </c>
      <c r="BL71" s="23">
        <f t="shared" si="32"/>
        <v>1</v>
      </c>
      <c r="BM71" s="23" t="str">
        <f t="shared" si="33"/>
        <v>Ammo</v>
      </c>
      <c r="BN71" s="23">
        <f t="shared" si="34"/>
        <v>0</v>
      </c>
    </row>
    <row r="72" spans="1:66">
      <c r="A72" s="17">
        <v>0</v>
      </c>
      <c r="B72" s="32" t="s">
        <v>229</v>
      </c>
      <c r="C72" s="11" t="s">
        <v>44</v>
      </c>
      <c r="F72" s="2">
        <f t="shared" si="12"/>
        <v>0</v>
      </c>
      <c r="H72" s="2">
        <f t="shared" si="13"/>
        <v>0</v>
      </c>
      <c r="I72" s="2">
        <f t="shared" si="25"/>
        <v>5.0000000000000044E-2</v>
      </c>
      <c r="J72" s="2">
        <f t="shared" si="14"/>
        <v>0</v>
      </c>
      <c r="K72" s="31"/>
      <c r="L72" s="2">
        <f t="shared" si="15"/>
        <v>0</v>
      </c>
      <c r="M72" s="2">
        <f t="shared" si="16"/>
        <v>0</v>
      </c>
      <c r="N72" s="2">
        <f t="shared" si="36"/>
        <v>0</v>
      </c>
      <c r="O72" s="2">
        <f t="shared" si="17"/>
        <v>0</v>
      </c>
      <c r="P72" s="2">
        <f t="shared" si="18"/>
        <v>0</v>
      </c>
      <c r="Q72" s="2">
        <f t="shared" si="35"/>
        <v>0</v>
      </c>
      <c r="S72" s="18">
        <f t="shared" si="20"/>
        <v>0</v>
      </c>
      <c r="T72" s="2">
        <f t="shared" si="21"/>
        <v>0</v>
      </c>
      <c r="U72" s="2">
        <f t="shared" si="22"/>
        <v>0</v>
      </c>
      <c r="V72" s="2">
        <f t="shared" si="23"/>
        <v>0</v>
      </c>
      <c r="W72" s="2">
        <f t="shared" si="24"/>
        <v>0</v>
      </c>
      <c r="AM72" s="2">
        <f t="shared" si="9"/>
        <v>48</v>
      </c>
      <c r="AN72" s="4" t="s">
        <v>72</v>
      </c>
      <c r="AO72" s="2">
        <v>2</v>
      </c>
      <c r="AP72" s="2">
        <v>5</v>
      </c>
      <c r="AQ72" s="14">
        <v>100000</v>
      </c>
      <c r="AR72" s="2">
        <v>90</v>
      </c>
      <c r="AS72" s="2">
        <v>1</v>
      </c>
      <c r="AT72" s="2" t="s">
        <v>107</v>
      </c>
      <c r="AU72" s="2">
        <v>0</v>
      </c>
      <c r="AX72" s="2">
        <v>48</v>
      </c>
      <c r="BG72" s="23" t="str">
        <f t="shared" si="27"/>
        <v>LRM-10</v>
      </c>
      <c r="BH72" s="23">
        <f t="shared" si="28"/>
        <v>2</v>
      </c>
      <c r="BI72" s="23">
        <f t="shared" si="29"/>
        <v>5</v>
      </c>
      <c r="BJ72" s="23">
        <f t="shared" si="30"/>
        <v>100000</v>
      </c>
      <c r="BK72" s="23">
        <f t="shared" si="31"/>
        <v>90</v>
      </c>
      <c r="BL72" s="23">
        <f t="shared" si="32"/>
        <v>1</v>
      </c>
      <c r="BM72" s="23" t="str">
        <f t="shared" si="33"/>
        <v>Missile</v>
      </c>
      <c r="BN72" s="23">
        <f t="shared" si="34"/>
        <v>0</v>
      </c>
    </row>
    <row r="73" spans="1:66">
      <c r="A73" s="17">
        <v>0</v>
      </c>
      <c r="B73" s="32" t="s">
        <v>229</v>
      </c>
      <c r="C73" s="11" t="s">
        <v>44</v>
      </c>
      <c r="F73" s="2">
        <f t="shared" si="12"/>
        <v>0</v>
      </c>
      <c r="H73" s="2">
        <f t="shared" si="13"/>
        <v>0</v>
      </c>
      <c r="I73" s="2">
        <f t="shared" si="25"/>
        <v>5.0000000000000044E-2</v>
      </c>
      <c r="J73" s="2">
        <f t="shared" si="14"/>
        <v>0</v>
      </c>
      <c r="K73" s="31"/>
      <c r="L73" s="2">
        <f t="shared" si="15"/>
        <v>0</v>
      </c>
      <c r="M73" s="2">
        <f t="shared" si="16"/>
        <v>0</v>
      </c>
      <c r="N73" s="2">
        <f t="shared" si="36"/>
        <v>0</v>
      </c>
      <c r="O73" s="2">
        <f t="shared" si="17"/>
        <v>0</v>
      </c>
      <c r="P73" s="2">
        <f t="shared" si="18"/>
        <v>0</v>
      </c>
      <c r="Q73" s="2">
        <f t="shared" si="35"/>
        <v>0</v>
      </c>
      <c r="S73" s="18">
        <f t="shared" si="20"/>
        <v>0</v>
      </c>
      <c r="T73" s="2">
        <f t="shared" si="21"/>
        <v>0</v>
      </c>
      <c r="U73" s="2">
        <f t="shared" si="22"/>
        <v>0</v>
      </c>
      <c r="V73" s="2">
        <f t="shared" si="23"/>
        <v>0</v>
      </c>
      <c r="W73" s="2">
        <f t="shared" si="24"/>
        <v>0</v>
      </c>
      <c r="AM73" s="2">
        <f t="shared" si="9"/>
        <v>49</v>
      </c>
      <c r="AN73" s="4" t="s">
        <v>218</v>
      </c>
      <c r="AO73" s="2">
        <v>3</v>
      </c>
      <c r="AP73" s="2">
        <v>6</v>
      </c>
      <c r="AQ73" s="14">
        <f>100000+100000</f>
        <v>200000</v>
      </c>
      <c r="AR73" s="2">
        <f>90*1.2</f>
        <v>108</v>
      </c>
      <c r="AS73" s="2">
        <v>1</v>
      </c>
      <c r="AT73" s="2" t="s">
        <v>107</v>
      </c>
      <c r="AU73" s="2">
        <v>0</v>
      </c>
      <c r="AX73" s="2">
        <v>49</v>
      </c>
      <c r="BG73" s="23" t="str">
        <f t="shared" si="27"/>
        <v>LRM-10  w/Artemis IV FCS</v>
      </c>
      <c r="BH73" s="23">
        <f t="shared" si="28"/>
        <v>3</v>
      </c>
      <c r="BI73" s="23">
        <f t="shared" si="29"/>
        <v>6</v>
      </c>
      <c r="BJ73" s="23">
        <f t="shared" si="30"/>
        <v>200000</v>
      </c>
      <c r="BK73" s="23">
        <f t="shared" si="31"/>
        <v>108</v>
      </c>
      <c r="BL73" s="23">
        <f t="shared" si="32"/>
        <v>1</v>
      </c>
      <c r="BM73" s="23" t="str">
        <f t="shared" si="33"/>
        <v>Missile</v>
      </c>
      <c r="BN73" s="23">
        <f t="shared" si="34"/>
        <v>0</v>
      </c>
    </row>
    <row r="74" spans="1:66">
      <c r="A74" s="17">
        <v>0</v>
      </c>
      <c r="B74" s="32" t="s">
        <v>229</v>
      </c>
      <c r="C74" s="11" t="s">
        <v>44</v>
      </c>
      <c r="F74" s="2">
        <f t="shared" si="12"/>
        <v>0</v>
      </c>
      <c r="H74" s="2">
        <f t="shared" si="13"/>
        <v>0</v>
      </c>
      <c r="I74" s="2">
        <f t="shared" si="25"/>
        <v>5.0000000000000044E-2</v>
      </c>
      <c r="J74" s="2">
        <f t="shared" si="14"/>
        <v>0</v>
      </c>
      <c r="K74" s="31"/>
      <c r="L74" s="2">
        <f t="shared" si="15"/>
        <v>0</v>
      </c>
      <c r="M74" s="2">
        <f t="shared" si="16"/>
        <v>0</v>
      </c>
      <c r="N74" s="2">
        <f t="shared" si="36"/>
        <v>0</v>
      </c>
      <c r="O74" s="2">
        <f t="shared" si="17"/>
        <v>0</v>
      </c>
      <c r="P74" s="2">
        <f t="shared" si="18"/>
        <v>0</v>
      </c>
      <c r="Q74" s="2">
        <f t="shared" si="35"/>
        <v>0</v>
      </c>
      <c r="S74" s="18">
        <f t="shared" si="20"/>
        <v>0</v>
      </c>
      <c r="T74" s="2">
        <f t="shared" si="21"/>
        <v>0</v>
      </c>
      <c r="U74" s="2">
        <f t="shared" si="22"/>
        <v>0</v>
      </c>
      <c r="V74" s="2">
        <f t="shared" si="23"/>
        <v>0</v>
      </c>
      <c r="W74" s="2">
        <f t="shared" si="24"/>
        <v>0</v>
      </c>
      <c r="AM74" s="2">
        <f t="shared" si="9"/>
        <v>50</v>
      </c>
      <c r="AN74" s="4" t="s">
        <v>91</v>
      </c>
      <c r="AO74" s="2">
        <v>1</v>
      </c>
      <c r="AP74" s="2">
        <v>1</v>
      </c>
      <c r="AQ74" s="14">
        <v>30000</v>
      </c>
      <c r="AR74" s="2">
        <v>6</v>
      </c>
      <c r="AS74" s="2">
        <v>1</v>
      </c>
      <c r="AT74" s="2" t="s">
        <v>105</v>
      </c>
      <c r="AU74" s="2">
        <v>0</v>
      </c>
      <c r="AX74" s="2">
        <v>50</v>
      </c>
      <c r="BG74" s="23" t="str">
        <f t="shared" si="27"/>
        <v>LRM-10 (Ammo 12)</v>
      </c>
      <c r="BH74" s="23">
        <f t="shared" si="28"/>
        <v>1</v>
      </c>
      <c r="BI74" s="23">
        <f t="shared" si="29"/>
        <v>1</v>
      </c>
      <c r="BJ74" s="23">
        <f t="shared" si="30"/>
        <v>30000</v>
      </c>
      <c r="BK74" s="23">
        <f t="shared" si="31"/>
        <v>6</v>
      </c>
      <c r="BL74" s="23">
        <f t="shared" si="32"/>
        <v>1</v>
      </c>
      <c r="BM74" s="23" t="str">
        <f t="shared" si="33"/>
        <v>Ammo</v>
      </c>
      <c r="BN74" s="23">
        <f t="shared" si="34"/>
        <v>0</v>
      </c>
    </row>
    <row r="75" spans="1:66">
      <c r="A75" s="17">
        <v>0</v>
      </c>
      <c r="B75" s="32" t="s">
        <v>229</v>
      </c>
      <c r="C75" s="11" t="s">
        <v>44</v>
      </c>
      <c r="F75" s="2">
        <f t="shared" si="12"/>
        <v>0</v>
      </c>
      <c r="H75" s="2">
        <f t="shared" si="13"/>
        <v>0</v>
      </c>
      <c r="I75" s="2">
        <f t="shared" si="25"/>
        <v>5.0000000000000044E-2</v>
      </c>
      <c r="J75" s="2">
        <f t="shared" si="14"/>
        <v>0</v>
      </c>
      <c r="K75" s="31"/>
      <c r="L75" s="2">
        <f t="shared" si="15"/>
        <v>0</v>
      </c>
      <c r="M75" s="2">
        <f t="shared" si="16"/>
        <v>0</v>
      </c>
      <c r="N75" s="2">
        <f t="shared" si="36"/>
        <v>0</v>
      </c>
      <c r="O75" s="2">
        <f t="shared" si="17"/>
        <v>0</v>
      </c>
      <c r="P75" s="2">
        <f t="shared" si="18"/>
        <v>0</v>
      </c>
      <c r="Q75" s="2">
        <f t="shared" si="35"/>
        <v>0</v>
      </c>
      <c r="S75" s="18">
        <f t="shared" si="20"/>
        <v>0</v>
      </c>
      <c r="T75" s="2">
        <f t="shared" si="21"/>
        <v>0</v>
      </c>
      <c r="U75" s="2">
        <f t="shared" si="22"/>
        <v>0</v>
      </c>
      <c r="V75" s="2">
        <f t="shared" si="23"/>
        <v>0</v>
      </c>
      <c r="W75" s="2">
        <f t="shared" si="24"/>
        <v>0</v>
      </c>
      <c r="AM75" s="2">
        <f t="shared" si="9"/>
        <v>51</v>
      </c>
      <c r="AN75" s="4" t="s">
        <v>225</v>
      </c>
      <c r="AO75" s="2">
        <v>1</v>
      </c>
      <c r="AP75" s="2">
        <v>1</v>
      </c>
      <c r="AQ75" s="14">
        <f>30000*2</f>
        <v>60000</v>
      </c>
      <c r="AR75" s="2">
        <v>6</v>
      </c>
      <c r="AS75" s="2">
        <v>1</v>
      </c>
      <c r="AT75" s="2" t="s">
        <v>105</v>
      </c>
      <c r="AU75" s="2">
        <v>0</v>
      </c>
      <c r="AX75" s="2">
        <v>51</v>
      </c>
      <c r="BG75" s="23" t="str">
        <f t="shared" ref="BG75:BG106" si="37">IF($F$1="IS",AN75,IF($F$1="Clan",AY75,"Try agian"))</f>
        <v>LRM-10 (Ammo 12)Artemis</v>
      </c>
      <c r="BH75" s="23">
        <f t="shared" ref="BH75:BH106" si="38">IF($F$1="IS",AO75,IF($F$1="Clan",AZ75,"Try agian"))</f>
        <v>1</v>
      </c>
      <c r="BI75" s="23">
        <f t="shared" ref="BI75:BI106" si="39">IF($F$1="IS",AP75,IF($F$1="Clan",BA75,"Try agian"))</f>
        <v>1</v>
      </c>
      <c r="BJ75" s="23">
        <f t="shared" ref="BJ75:BJ106" si="40">IF($F$1="IS",AQ75,IF($F$1="Clan",BB75,"Try agian"))</f>
        <v>60000</v>
      </c>
      <c r="BK75" s="23">
        <f t="shared" ref="BK75:BK106" si="41">IF($F$1="IS",AR75,IF($F$1="Clan",BC75,"Try agian"))</f>
        <v>6</v>
      </c>
      <c r="BL75" s="23">
        <f t="shared" ref="BL75:BL106" si="42">IF($F$1="IS",AS75,IF($F$1="Clan",BD75,"Try agian"))</f>
        <v>1</v>
      </c>
      <c r="BM75" s="23" t="str">
        <f t="shared" ref="BM75:BM106" si="43">IF($F$1="IS",AT75,IF($F$1="Clan",BE75,"Try agian"))</f>
        <v>Ammo</v>
      </c>
      <c r="BN75" s="23">
        <f t="shared" ref="BN75:BN106" si="44">IF($F$1="IS",AU75,IF($F$1="Clan",BF75,"Try agian"))</f>
        <v>0</v>
      </c>
    </row>
    <row r="76" spans="1:66">
      <c r="A76" s="17">
        <v>0</v>
      </c>
      <c r="B76" s="32" t="s">
        <v>229</v>
      </c>
      <c r="C76" s="11" t="s">
        <v>44</v>
      </c>
      <c r="F76" s="2">
        <f t="shared" si="12"/>
        <v>0</v>
      </c>
      <c r="H76" s="2">
        <f t="shared" si="13"/>
        <v>0</v>
      </c>
      <c r="I76" s="2">
        <f t="shared" si="25"/>
        <v>5.0000000000000044E-2</v>
      </c>
      <c r="J76" s="2">
        <f t="shared" si="14"/>
        <v>0</v>
      </c>
      <c r="K76" s="31"/>
      <c r="L76" s="2">
        <f t="shared" si="15"/>
        <v>0</v>
      </c>
      <c r="M76" s="2">
        <f t="shared" si="16"/>
        <v>0</v>
      </c>
      <c r="N76" s="2">
        <f t="shared" si="36"/>
        <v>0</v>
      </c>
      <c r="O76" s="2">
        <f t="shared" si="17"/>
        <v>0</v>
      </c>
      <c r="P76" s="2">
        <f t="shared" si="18"/>
        <v>0</v>
      </c>
      <c r="Q76" s="2">
        <f t="shared" si="35"/>
        <v>0</v>
      </c>
      <c r="S76" s="18">
        <f t="shared" si="20"/>
        <v>0</v>
      </c>
      <c r="T76" s="2">
        <f t="shared" si="21"/>
        <v>0</v>
      </c>
      <c r="U76" s="2">
        <f t="shared" si="22"/>
        <v>0</v>
      </c>
      <c r="V76" s="2">
        <f t="shared" si="23"/>
        <v>0</v>
      </c>
      <c r="W76" s="2">
        <f t="shared" si="24"/>
        <v>0</v>
      </c>
      <c r="AM76" s="2">
        <f t="shared" si="9"/>
        <v>52</v>
      </c>
      <c r="AN76" s="4" t="s">
        <v>73</v>
      </c>
      <c r="AO76" s="2">
        <v>3</v>
      </c>
      <c r="AP76" s="2">
        <v>7</v>
      </c>
      <c r="AQ76" s="14">
        <v>175000</v>
      </c>
      <c r="AR76" s="2">
        <v>136</v>
      </c>
      <c r="AS76" s="2">
        <v>1</v>
      </c>
      <c r="AT76" s="2" t="s">
        <v>107</v>
      </c>
      <c r="AU76" s="2">
        <v>0</v>
      </c>
      <c r="AX76" s="2">
        <v>52</v>
      </c>
      <c r="BG76" s="23" t="str">
        <f t="shared" si="37"/>
        <v>LRM-15</v>
      </c>
      <c r="BH76" s="23">
        <f t="shared" si="38"/>
        <v>3</v>
      </c>
      <c r="BI76" s="23">
        <f t="shared" si="39"/>
        <v>7</v>
      </c>
      <c r="BJ76" s="23">
        <f t="shared" si="40"/>
        <v>175000</v>
      </c>
      <c r="BK76" s="23">
        <f t="shared" si="41"/>
        <v>136</v>
      </c>
      <c r="BL76" s="23">
        <f t="shared" si="42"/>
        <v>1</v>
      </c>
      <c r="BM76" s="23" t="str">
        <f t="shared" si="43"/>
        <v>Missile</v>
      </c>
      <c r="BN76" s="23">
        <f t="shared" si="44"/>
        <v>0</v>
      </c>
    </row>
    <row r="77" spans="1:66">
      <c r="A77" s="17">
        <v>0</v>
      </c>
      <c r="B77" s="32" t="s">
        <v>229</v>
      </c>
      <c r="C77" s="11" t="s">
        <v>44</v>
      </c>
      <c r="F77" s="2">
        <f t="shared" si="12"/>
        <v>0</v>
      </c>
      <c r="H77" s="2">
        <f t="shared" si="13"/>
        <v>0</v>
      </c>
      <c r="I77" s="2">
        <f t="shared" si="25"/>
        <v>5.0000000000000044E-2</v>
      </c>
      <c r="J77" s="2">
        <f t="shared" si="14"/>
        <v>0</v>
      </c>
      <c r="K77" s="31"/>
      <c r="L77" s="2">
        <f t="shared" si="15"/>
        <v>0</v>
      </c>
      <c r="M77" s="2">
        <f t="shared" si="16"/>
        <v>0</v>
      </c>
      <c r="N77" s="2">
        <f t="shared" si="36"/>
        <v>0</v>
      </c>
      <c r="O77" s="2">
        <f t="shared" si="17"/>
        <v>0</v>
      </c>
      <c r="P77" s="2">
        <f t="shared" si="18"/>
        <v>0</v>
      </c>
      <c r="Q77" s="2">
        <f t="shared" si="35"/>
        <v>0</v>
      </c>
      <c r="S77" s="18">
        <f t="shared" si="20"/>
        <v>0</v>
      </c>
      <c r="T77" s="2">
        <f t="shared" si="21"/>
        <v>0</v>
      </c>
      <c r="U77" s="2">
        <f t="shared" si="22"/>
        <v>0</v>
      </c>
      <c r="V77" s="2">
        <f t="shared" si="23"/>
        <v>0</v>
      </c>
      <c r="W77" s="2">
        <f t="shared" si="24"/>
        <v>0</v>
      </c>
      <c r="AM77" s="2">
        <f t="shared" si="9"/>
        <v>53</v>
      </c>
      <c r="AN77" s="4" t="s">
        <v>219</v>
      </c>
      <c r="AO77" s="2">
        <v>4</v>
      </c>
      <c r="AP77" s="2">
        <v>8</v>
      </c>
      <c r="AQ77" s="14">
        <f>175000+100000</f>
        <v>275000</v>
      </c>
      <c r="AR77" s="2">
        <f>136*1.2</f>
        <v>163.19999999999999</v>
      </c>
      <c r="AS77" s="2">
        <v>1</v>
      </c>
      <c r="AT77" s="2" t="s">
        <v>107</v>
      </c>
      <c r="AU77" s="2">
        <v>0</v>
      </c>
      <c r="AX77" s="2">
        <v>53</v>
      </c>
      <c r="BG77" s="23" t="str">
        <f t="shared" si="37"/>
        <v>LRM-15  w/Artemis IV FCS</v>
      </c>
      <c r="BH77" s="23">
        <f t="shared" si="38"/>
        <v>4</v>
      </c>
      <c r="BI77" s="23">
        <f t="shared" si="39"/>
        <v>8</v>
      </c>
      <c r="BJ77" s="23">
        <f t="shared" si="40"/>
        <v>275000</v>
      </c>
      <c r="BK77" s="23">
        <f t="shared" si="41"/>
        <v>163.19999999999999</v>
      </c>
      <c r="BL77" s="23">
        <f t="shared" si="42"/>
        <v>1</v>
      </c>
      <c r="BM77" s="23" t="str">
        <f t="shared" si="43"/>
        <v>Missile</v>
      </c>
      <c r="BN77" s="23">
        <f t="shared" si="44"/>
        <v>0</v>
      </c>
    </row>
    <row r="78" spans="1:66">
      <c r="A78" s="17">
        <v>0</v>
      </c>
      <c r="B78" s="32" t="s">
        <v>229</v>
      </c>
      <c r="C78" s="11" t="s">
        <v>44</v>
      </c>
      <c r="F78" s="2">
        <f t="shared" si="12"/>
        <v>0</v>
      </c>
      <c r="H78" s="2">
        <f t="shared" si="13"/>
        <v>0</v>
      </c>
      <c r="I78" s="2">
        <f t="shared" si="25"/>
        <v>5.0000000000000044E-2</v>
      </c>
      <c r="J78" s="2">
        <f t="shared" si="14"/>
        <v>0</v>
      </c>
      <c r="K78" s="31"/>
      <c r="L78" s="2">
        <f t="shared" si="15"/>
        <v>0</v>
      </c>
      <c r="M78" s="2">
        <f t="shared" si="16"/>
        <v>0</v>
      </c>
      <c r="N78" s="2">
        <f t="shared" si="36"/>
        <v>0</v>
      </c>
      <c r="O78" s="2">
        <f t="shared" si="17"/>
        <v>0</v>
      </c>
      <c r="P78" s="2">
        <f t="shared" si="18"/>
        <v>0</v>
      </c>
      <c r="Q78" s="2">
        <f t="shared" si="35"/>
        <v>0</v>
      </c>
      <c r="S78" s="18">
        <f t="shared" si="20"/>
        <v>0</v>
      </c>
      <c r="T78" s="2">
        <f t="shared" si="21"/>
        <v>0</v>
      </c>
      <c r="U78" s="2">
        <f t="shared" si="22"/>
        <v>0</v>
      </c>
      <c r="V78" s="2">
        <f t="shared" si="23"/>
        <v>0</v>
      </c>
      <c r="W78" s="2">
        <f t="shared" si="24"/>
        <v>0</v>
      </c>
      <c r="AM78" s="2">
        <f t="shared" si="9"/>
        <v>54</v>
      </c>
      <c r="AN78" s="4" t="s">
        <v>92</v>
      </c>
      <c r="AO78" s="2">
        <v>1</v>
      </c>
      <c r="AP78" s="2">
        <v>1</v>
      </c>
      <c r="AQ78" s="14">
        <v>30000</v>
      </c>
      <c r="AR78" s="2">
        <v>11</v>
      </c>
      <c r="AS78" s="2">
        <v>1</v>
      </c>
      <c r="AT78" s="2" t="s">
        <v>105</v>
      </c>
      <c r="AU78" s="2">
        <v>0</v>
      </c>
      <c r="AX78" s="2">
        <v>54</v>
      </c>
      <c r="BG78" s="23" t="str">
        <f t="shared" si="37"/>
        <v>LRM-15 (Ammo 8)</v>
      </c>
      <c r="BH78" s="23">
        <f t="shared" si="38"/>
        <v>1</v>
      </c>
      <c r="BI78" s="23">
        <f t="shared" si="39"/>
        <v>1</v>
      </c>
      <c r="BJ78" s="23">
        <f t="shared" si="40"/>
        <v>30000</v>
      </c>
      <c r="BK78" s="23">
        <f t="shared" si="41"/>
        <v>11</v>
      </c>
      <c r="BL78" s="23">
        <f t="shared" si="42"/>
        <v>1</v>
      </c>
      <c r="BM78" s="23" t="str">
        <f t="shared" si="43"/>
        <v>Ammo</v>
      </c>
      <c r="BN78" s="23">
        <f t="shared" si="44"/>
        <v>0</v>
      </c>
    </row>
    <row r="79" spans="1:66">
      <c r="A79" s="17">
        <v>0</v>
      </c>
      <c r="B79" s="32" t="s">
        <v>229</v>
      </c>
      <c r="C79" s="11" t="s">
        <v>44</v>
      </c>
      <c r="F79" s="2">
        <f t="shared" si="12"/>
        <v>0</v>
      </c>
      <c r="H79" s="2">
        <f t="shared" si="13"/>
        <v>0</v>
      </c>
      <c r="I79" s="2">
        <f t="shared" si="25"/>
        <v>5.0000000000000044E-2</v>
      </c>
      <c r="J79" s="2">
        <f t="shared" si="14"/>
        <v>0</v>
      </c>
      <c r="K79" s="31"/>
      <c r="L79" s="2">
        <f t="shared" si="15"/>
        <v>0</v>
      </c>
      <c r="M79" s="2">
        <f t="shared" si="16"/>
        <v>0</v>
      </c>
      <c r="N79" s="2">
        <f t="shared" si="36"/>
        <v>0</v>
      </c>
      <c r="O79" s="2">
        <f t="shared" si="17"/>
        <v>0</v>
      </c>
      <c r="P79" s="2">
        <f t="shared" si="18"/>
        <v>0</v>
      </c>
      <c r="Q79" s="2">
        <f t="shared" si="35"/>
        <v>0</v>
      </c>
      <c r="S79" s="18">
        <f t="shared" si="20"/>
        <v>0</v>
      </c>
      <c r="T79" s="2">
        <f t="shared" si="21"/>
        <v>0</v>
      </c>
      <c r="U79" s="2">
        <f t="shared" si="22"/>
        <v>0</v>
      </c>
      <c r="V79" s="2">
        <f t="shared" si="23"/>
        <v>0</v>
      </c>
      <c r="W79" s="2">
        <f t="shared" si="24"/>
        <v>0</v>
      </c>
      <c r="AM79" s="2">
        <f t="shared" si="9"/>
        <v>55</v>
      </c>
      <c r="AN79" s="4" t="s">
        <v>226</v>
      </c>
      <c r="AO79" s="2">
        <v>1</v>
      </c>
      <c r="AP79" s="2">
        <v>1</v>
      </c>
      <c r="AQ79" s="14">
        <f>30000*2</f>
        <v>60000</v>
      </c>
      <c r="AR79" s="2">
        <v>11</v>
      </c>
      <c r="AS79" s="2">
        <v>1</v>
      </c>
      <c r="AT79" s="2" t="s">
        <v>105</v>
      </c>
      <c r="AU79" s="2">
        <v>0</v>
      </c>
      <c r="AX79" s="2">
        <v>55</v>
      </c>
      <c r="BG79" s="23" t="str">
        <f t="shared" si="37"/>
        <v>LRM-15 (Ammo 8)Artemis</v>
      </c>
      <c r="BH79" s="23">
        <f t="shared" si="38"/>
        <v>1</v>
      </c>
      <c r="BI79" s="23">
        <f t="shared" si="39"/>
        <v>1</v>
      </c>
      <c r="BJ79" s="23">
        <f t="shared" si="40"/>
        <v>60000</v>
      </c>
      <c r="BK79" s="23">
        <f t="shared" si="41"/>
        <v>11</v>
      </c>
      <c r="BL79" s="23">
        <f t="shared" si="42"/>
        <v>1</v>
      </c>
      <c r="BM79" s="23" t="str">
        <f t="shared" si="43"/>
        <v>Ammo</v>
      </c>
      <c r="BN79" s="23">
        <f t="shared" si="44"/>
        <v>0</v>
      </c>
    </row>
    <row r="80" spans="1:66">
      <c r="AM80" s="2">
        <f t="shared" si="9"/>
        <v>56</v>
      </c>
      <c r="AN80" s="4" t="s">
        <v>74</v>
      </c>
      <c r="AO80" s="2">
        <v>5</v>
      </c>
      <c r="AP80" s="2">
        <v>10</v>
      </c>
      <c r="AQ80" s="14">
        <v>250000</v>
      </c>
      <c r="AR80" s="2">
        <v>181</v>
      </c>
      <c r="AS80" s="2">
        <v>1</v>
      </c>
      <c r="AT80" s="2" t="s">
        <v>107</v>
      </c>
      <c r="AU80" s="2">
        <v>0</v>
      </c>
      <c r="AX80" s="2">
        <v>56</v>
      </c>
      <c r="BG80" s="23" t="str">
        <f t="shared" si="37"/>
        <v>LRM-20</v>
      </c>
      <c r="BH80" s="23">
        <f t="shared" si="38"/>
        <v>5</v>
      </c>
      <c r="BI80" s="23">
        <f t="shared" si="39"/>
        <v>10</v>
      </c>
      <c r="BJ80" s="23">
        <f t="shared" si="40"/>
        <v>250000</v>
      </c>
      <c r="BK80" s="23">
        <f t="shared" si="41"/>
        <v>181</v>
      </c>
      <c r="BL80" s="23">
        <f t="shared" si="42"/>
        <v>1</v>
      </c>
      <c r="BM80" s="23" t="str">
        <f t="shared" si="43"/>
        <v>Missile</v>
      </c>
      <c r="BN80" s="23">
        <f t="shared" si="44"/>
        <v>0</v>
      </c>
    </row>
    <row r="81" spans="39:66">
      <c r="AM81" s="2">
        <f t="shared" si="9"/>
        <v>57</v>
      </c>
      <c r="AN81" s="4" t="s">
        <v>220</v>
      </c>
      <c r="AO81" s="2">
        <v>6</v>
      </c>
      <c r="AP81" s="2">
        <v>11</v>
      </c>
      <c r="AQ81" s="14">
        <f>250000+100000</f>
        <v>350000</v>
      </c>
      <c r="AR81" s="2">
        <f>181*1.2</f>
        <v>217.2</v>
      </c>
      <c r="AS81" s="2">
        <v>1</v>
      </c>
      <c r="AT81" s="2" t="s">
        <v>107</v>
      </c>
      <c r="AU81" s="2">
        <v>0</v>
      </c>
      <c r="AX81" s="2">
        <v>57</v>
      </c>
      <c r="BG81" s="23" t="str">
        <f t="shared" si="37"/>
        <v>LRM-20  w/Artemis IV FCS</v>
      </c>
      <c r="BH81" s="23">
        <f t="shared" si="38"/>
        <v>6</v>
      </c>
      <c r="BI81" s="23">
        <f t="shared" si="39"/>
        <v>11</v>
      </c>
      <c r="BJ81" s="23">
        <f t="shared" si="40"/>
        <v>350000</v>
      </c>
      <c r="BK81" s="23">
        <f t="shared" si="41"/>
        <v>217.2</v>
      </c>
      <c r="BL81" s="23">
        <f t="shared" si="42"/>
        <v>1</v>
      </c>
      <c r="BM81" s="23" t="str">
        <f t="shared" si="43"/>
        <v>Missile</v>
      </c>
      <c r="BN81" s="23">
        <f t="shared" si="44"/>
        <v>0</v>
      </c>
    </row>
    <row r="82" spans="39:66">
      <c r="AM82" s="2">
        <f t="shared" si="9"/>
        <v>58</v>
      </c>
      <c r="AN82" s="4" t="s">
        <v>93</v>
      </c>
      <c r="AO82" s="2">
        <v>1</v>
      </c>
      <c r="AP82" s="2">
        <v>1</v>
      </c>
      <c r="AQ82" s="14">
        <v>30000</v>
      </c>
      <c r="AR82" s="2">
        <v>17</v>
      </c>
      <c r="AS82" s="2">
        <v>1</v>
      </c>
      <c r="AT82" s="2" t="s">
        <v>105</v>
      </c>
      <c r="AU82" s="2">
        <v>0</v>
      </c>
      <c r="AX82" s="2">
        <v>58</v>
      </c>
      <c r="BG82" s="23" t="str">
        <f t="shared" si="37"/>
        <v>LRM-20 (Ammo 6)</v>
      </c>
      <c r="BH82" s="23">
        <f t="shared" si="38"/>
        <v>1</v>
      </c>
      <c r="BI82" s="23">
        <f t="shared" si="39"/>
        <v>1</v>
      </c>
      <c r="BJ82" s="23">
        <f t="shared" si="40"/>
        <v>30000</v>
      </c>
      <c r="BK82" s="23">
        <f t="shared" si="41"/>
        <v>17</v>
      </c>
      <c r="BL82" s="23">
        <f t="shared" si="42"/>
        <v>1</v>
      </c>
      <c r="BM82" s="23" t="str">
        <f t="shared" si="43"/>
        <v>Ammo</v>
      </c>
      <c r="BN82" s="23">
        <f t="shared" si="44"/>
        <v>0</v>
      </c>
    </row>
    <row r="83" spans="39:66">
      <c r="AM83" s="2">
        <f t="shared" si="9"/>
        <v>59</v>
      </c>
      <c r="AN83" s="4" t="s">
        <v>227</v>
      </c>
      <c r="AO83" s="2">
        <v>1</v>
      </c>
      <c r="AP83" s="2">
        <v>1</v>
      </c>
      <c r="AQ83" s="14">
        <f>30000*2</f>
        <v>60000</v>
      </c>
      <c r="AR83" s="2">
        <v>17</v>
      </c>
      <c r="AS83" s="2">
        <v>1</v>
      </c>
      <c r="AT83" s="2" t="s">
        <v>105</v>
      </c>
      <c r="AU83" s="2">
        <v>0</v>
      </c>
      <c r="AX83" s="2">
        <v>59</v>
      </c>
      <c r="BG83" s="23" t="str">
        <f t="shared" si="37"/>
        <v>LRM-20 (Ammo 6)Artemis</v>
      </c>
      <c r="BH83" s="23">
        <f t="shared" si="38"/>
        <v>1</v>
      </c>
      <c r="BI83" s="23">
        <f t="shared" si="39"/>
        <v>1</v>
      </c>
      <c r="BJ83" s="23">
        <f t="shared" si="40"/>
        <v>60000</v>
      </c>
      <c r="BK83" s="23">
        <f t="shared" si="41"/>
        <v>17</v>
      </c>
      <c r="BL83" s="23">
        <f t="shared" si="42"/>
        <v>1</v>
      </c>
      <c r="BM83" s="23" t="str">
        <f t="shared" si="43"/>
        <v>Ammo</v>
      </c>
      <c r="BN83" s="23">
        <f t="shared" si="44"/>
        <v>0</v>
      </c>
    </row>
    <row r="84" spans="39:66">
      <c r="AM84" s="2">
        <f t="shared" si="9"/>
        <v>60</v>
      </c>
      <c r="AN84" s="4" t="s">
        <v>208</v>
      </c>
      <c r="AO84" s="2">
        <f>ROUNDUP($H$4/20,0)</f>
        <v>1</v>
      </c>
      <c r="AP84" s="2">
        <f>ROUNDUP($H$4/20,0)</f>
        <v>1</v>
      </c>
      <c r="AQ84" s="14">
        <f>+AP84*$C$9*1000</f>
        <v>260000</v>
      </c>
      <c r="AS84" s="2">
        <v>2</v>
      </c>
      <c r="AT84" s="2" t="s">
        <v>138</v>
      </c>
      <c r="AU84" s="2">
        <v>0</v>
      </c>
      <c r="AX84" s="2">
        <v>60</v>
      </c>
      <c r="BG84" s="23" t="str">
        <f t="shared" si="37"/>
        <v>M.A.S.C.</v>
      </c>
      <c r="BH84" s="23">
        <f t="shared" si="38"/>
        <v>1</v>
      </c>
      <c r="BI84" s="23">
        <f t="shared" si="39"/>
        <v>1</v>
      </c>
      <c r="BJ84" s="23">
        <f t="shared" si="40"/>
        <v>260000</v>
      </c>
      <c r="BK84" s="23">
        <f t="shared" si="41"/>
        <v>0</v>
      </c>
      <c r="BL84" s="23">
        <f t="shared" si="42"/>
        <v>2</v>
      </c>
      <c r="BM84" s="23" t="str">
        <f t="shared" si="43"/>
        <v>Gear</v>
      </c>
      <c r="BN84" s="23">
        <f t="shared" si="44"/>
        <v>0</v>
      </c>
    </row>
    <row r="85" spans="39:66">
      <c r="AM85" s="2">
        <f t="shared" si="9"/>
        <v>61</v>
      </c>
      <c r="AN85" s="4" t="s">
        <v>231</v>
      </c>
      <c r="AO85" s="2">
        <v>1</v>
      </c>
      <c r="AP85" s="2">
        <v>0.5</v>
      </c>
      <c r="AQ85" s="21">
        <v>5000</v>
      </c>
      <c r="AR85" s="21">
        <v>5</v>
      </c>
      <c r="AS85" s="21">
        <v>1</v>
      </c>
      <c r="AT85" s="2" t="s">
        <v>114</v>
      </c>
      <c r="AU85" s="2">
        <v>0</v>
      </c>
      <c r="AX85" s="2">
        <v>61</v>
      </c>
      <c r="BG85" s="23" t="str">
        <f t="shared" si="37"/>
        <v>Machine Gun</v>
      </c>
      <c r="BH85" s="23">
        <f t="shared" si="38"/>
        <v>1</v>
      </c>
      <c r="BI85" s="23">
        <f t="shared" si="39"/>
        <v>0.5</v>
      </c>
      <c r="BJ85" s="23">
        <f t="shared" si="40"/>
        <v>5000</v>
      </c>
      <c r="BK85" s="23">
        <f t="shared" si="41"/>
        <v>5</v>
      </c>
      <c r="BL85" s="23">
        <f t="shared" si="42"/>
        <v>1</v>
      </c>
      <c r="BM85" s="23" t="str">
        <f t="shared" si="43"/>
        <v>Auto0</v>
      </c>
      <c r="BN85" s="23">
        <f t="shared" si="44"/>
        <v>0</v>
      </c>
    </row>
    <row r="86" spans="39:66">
      <c r="AM86" s="2">
        <f t="shared" si="9"/>
        <v>62</v>
      </c>
      <c r="AN86" s="4" t="s">
        <v>232</v>
      </c>
      <c r="AO86" s="2">
        <v>1</v>
      </c>
      <c r="AP86" s="2">
        <v>1</v>
      </c>
      <c r="AQ86" s="21">
        <v>500</v>
      </c>
      <c r="AR86" s="21">
        <v>0.5</v>
      </c>
      <c r="AS86" s="21">
        <v>1</v>
      </c>
      <c r="AT86" s="2" t="s">
        <v>105</v>
      </c>
      <c r="AU86" s="2">
        <v>0</v>
      </c>
      <c r="AX86" s="2">
        <v>62</v>
      </c>
      <c r="BG86" s="23" t="str">
        <f t="shared" si="37"/>
        <v>Machine Gun (Ammo 100)</v>
      </c>
      <c r="BH86" s="23">
        <f t="shared" si="38"/>
        <v>1</v>
      </c>
      <c r="BI86" s="23">
        <f t="shared" si="39"/>
        <v>1</v>
      </c>
      <c r="BJ86" s="23">
        <f t="shared" si="40"/>
        <v>500</v>
      </c>
      <c r="BK86" s="23">
        <f t="shared" si="41"/>
        <v>0.5</v>
      </c>
      <c r="BL86" s="23">
        <f t="shared" si="42"/>
        <v>1</v>
      </c>
      <c r="BM86" s="23" t="str">
        <f t="shared" si="43"/>
        <v>Ammo</v>
      </c>
      <c r="BN86" s="23">
        <f t="shared" si="44"/>
        <v>0</v>
      </c>
    </row>
    <row r="87" spans="39:66">
      <c r="AM87" s="2">
        <f t="shared" si="9"/>
        <v>63</v>
      </c>
      <c r="AN87" s="4" t="s">
        <v>233</v>
      </c>
      <c r="AO87" s="2">
        <v>1</v>
      </c>
      <c r="AP87" s="2">
        <v>1</v>
      </c>
      <c r="AQ87" s="21">
        <v>1000</v>
      </c>
      <c r="AR87" s="21">
        <v>1</v>
      </c>
      <c r="AS87" s="21">
        <v>1</v>
      </c>
      <c r="AT87" s="2" t="s">
        <v>105</v>
      </c>
      <c r="AU87" s="2">
        <v>0</v>
      </c>
      <c r="AX87" s="2">
        <v>63</v>
      </c>
      <c r="BG87" s="23" t="str">
        <f t="shared" si="37"/>
        <v>Machine Gun (Ammo 200)</v>
      </c>
      <c r="BH87" s="23">
        <f t="shared" si="38"/>
        <v>1</v>
      </c>
      <c r="BI87" s="23">
        <f t="shared" si="39"/>
        <v>1</v>
      </c>
      <c r="BJ87" s="23">
        <f t="shared" si="40"/>
        <v>1000</v>
      </c>
      <c r="BK87" s="23">
        <f t="shared" si="41"/>
        <v>1</v>
      </c>
      <c r="BL87" s="23">
        <f t="shared" si="42"/>
        <v>1</v>
      </c>
      <c r="BM87" s="23" t="str">
        <f t="shared" si="43"/>
        <v>Ammo</v>
      </c>
      <c r="BN87" s="23">
        <f t="shared" si="44"/>
        <v>0</v>
      </c>
    </row>
    <row r="88" spans="39:66">
      <c r="AM88" s="2">
        <f t="shared" si="9"/>
        <v>64</v>
      </c>
      <c r="AN88" s="4" t="s">
        <v>57</v>
      </c>
      <c r="AO88" s="2">
        <v>1</v>
      </c>
      <c r="AP88" s="2">
        <v>1</v>
      </c>
      <c r="AQ88" s="14">
        <v>40000</v>
      </c>
      <c r="AR88" s="2">
        <v>45</v>
      </c>
      <c r="AS88" s="2">
        <v>1</v>
      </c>
      <c r="AT88" s="2" t="s">
        <v>106</v>
      </c>
      <c r="AU88" s="2">
        <f>+AP88</f>
        <v>1</v>
      </c>
      <c r="AX88" s="2">
        <v>64</v>
      </c>
      <c r="BG88" s="23" t="str">
        <f t="shared" si="37"/>
        <v>Medium Laser</v>
      </c>
      <c r="BH88" s="23">
        <f t="shared" si="38"/>
        <v>1</v>
      </c>
      <c r="BI88" s="23">
        <f t="shared" si="39"/>
        <v>1</v>
      </c>
      <c r="BJ88" s="23">
        <f t="shared" si="40"/>
        <v>40000</v>
      </c>
      <c r="BK88" s="23">
        <f t="shared" si="41"/>
        <v>45</v>
      </c>
      <c r="BL88" s="23">
        <f t="shared" si="42"/>
        <v>1</v>
      </c>
      <c r="BM88" s="23" t="str">
        <f t="shared" si="43"/>
        <v>Laser</v>
      </c>
      <c r="BN88" s="23">
        <f t="shared" si="44"/>
        <v>1</v>
      </c>
    </row>
    <row r="89" spans="39:66">
      <c r="AM89" s="2">
        <f t="shared" si="9"/>
        <v>65</v>
      </c>
      <c r="AN89" s="4" t="s">
        <v>132</v>
      </c>
      <c r="AO89" s="2">
        <v>1</v>
      </c>
      <c r="AP89" s="2">
        <v>2</v>
      </c>
      <c r="AQ89" s="14">
        <v>60000</v>
      </c>
      <c r="AR89" s="2">
        <v>48</v>
      </c>
      <c r="AS89" s="2">
        <v>2</v>
      </c>
      <c r="AT89" s="2" t="s">
        <v>106</v>
      </c>
      <c r="AU89" s="2">
        <f>+AP89</f>
        <v>2</v>
      </c>
      <c r="AX89" s="2">
        <v>65</v>
      </c>
      <c r="BG89" s="23" t="str">
        <f t="shared" si="37"/>
        <v>Medium Pulse</v>
      </c>
      <c r="BH89" s="23">
        <f t="shared" si="38"/>
        <v>1</v>
      </c>
      <c r="BI89" s="23">
        <f t="shared" si="39"/>
        <v>2</v>
      </c>
      <c r="BJ89" s="23">
        <f t="shared" si="40"/>
        <v>60000</v>
      </c>
      <c r="BK89" s="23">
        <f t="shared" si="41"/>
        <v>48</v>
      </c>
      <c r="BL89" s="23">
        <f t="shared" si="42"/>
        <v>2</v>
      </c>
      <c r="BM89" s="23" t="str">
        <f t="shared" si="43"/>
        <v>Laser</v>
      </c>
      <c r="BN89" s="23">
        <f t="shared" si="44"/>
        <v>2</v>
      </c>
    </row>
    <row r="90" spans="39:66">
      <c r="AM90" s="2">
        <f t="shared" si="9"/>
        <v>66</v>
      </c>
      <c r="AN90" s="4" t="s">
        <v>75</v>
      </c>
      <c r="AO90" s="2">
        <v>2</v>
      </c>
      <c r="AP90" s="2">
        <v>3</v>
      </c>
      <c r="AQ90" s="14">
        <v>50000</v>
      </c>
      <c r="AR90" s="2">
        <v>56</v>
      </c>
      <c r="AS90" s="2">
        <v>2</v>
      </c>
      <c r="AT90" s="2" t="s">
        <v>107</v>
      </c>
      <c r="AU90" s="2">
        <v>0</v>
      </c>
      <c r="AX90" s="2">
        <v>66</v>
      </c>
      <c r="BG90" s="23" t="str">
        <f t="shared" si="37"/>
        <v>MRM-10</v>
      </c>
      <c r="BH90" s="23">
        <f t="shared" si="38"/>
        <v>2</v>
      </c>
      <c r="BI90" s="23">
        <f t="shared" si="39"/>
        <v>3</v>
      </c>
      <c r="BJ90" s="23">
        <f t="shared" si="40"/>
        <v>50000</v>
      </c>
      <c r="BK90" s="23">
        <f t="shared" si="41"/>
        <v>56</v>
      </c>
      <c r="BL90" s="23">
        <f t="shared" si="42"/>
        <v>2</v>
      </c>
      <c r="BM90" s="23" t="str">
        <f t="shared" si="43"/>
        <v>Missile</v>
      </c>
      <c r="BN90" s="23">
        <f t="shared" si="44"/>
        <v>0</v>
      </c>
    </row>
    <row r="91" spans="39:66">
      <c r="AM91" s="2">
        <f t="shared" ref="AM91:AM154" si="45">+AM90+1</f>
        <v>67</v>
      </c>
      <c r="AN91" s="4" t="s">
        <v>94</v>
      </c>
      <c r="AO91" s="2">
        <v>1</v>
      </c>
      <c r="AP91" s="2">
        <v>1</v>
      </c>
      <c r="AQ91" s="14">
        <v>5000</v>
      </c>
      <c r="AR91" s="2">
        <v>7</v>
      </c>
      <c r="AS91" s="2">
        <v>2</v>
      </c>
      <c r="AT91" s="2" t="s">
        <v>105</v>
      </c>
      <c r="AU91" s="2">
        <v>0</v>
      </c>
      <c r="AX91" s="2">
        <v>67</v>
      </c>
      <c r="BG91" s="23" t="str">
        <f t="shared" si="37"/>
        <v>MRM-10 (Ammo 24)</v>
      </c>
      <c r="BH91" s="23">
        <f t="shared" si="38"/>
        <v>1</v>
      </c>
      <c r="BI91" s="23">
        <f t="shared" si="39"/>
        <v>1</v>
      </c>
      <c r="BJ91" s="23">
        <f t="shared" si="40"/>
        <v>5000</v>
      </c>
      <c r="BK91" s="23">
        <f t="shared" si="41"/>
        <v>7</v>
      </c>
      <c r="BL91" s="23">
        <f t="shared" si="42"/>
        <v>2</v>
      </c>
      <c r="BM91" s="23" t="str">
        <f t="shared" si="43"/>
        <v>Ammo</v>
      </c>
      <c r="BN91" s="23">
        <f t="shared" si="44"/>
        <v>0</v>
      </c>
    </row>
    <row r="92" spans="39:66">
      <c r="AM92" s="2">
        <f t="shared" si="45"/>
        <v>68</v>
      </c>
      <c r="AN92" s="4" t="s">
        <v>76</v>
      </c>
      <c r="AO92" s="2">
        <v>3</v>
      </c>
      <c r="AP92" s="2">
        <v>7</v>
      </c>
      <c r="AQ92" s="14">
        <v>125000</v>
      </c>
      <c r="AR92" s="2">
        <v>112</v>
      </c>
      <c r="AS92" s="2">
        <v>2</v>
      </c>
      <c r="AT92" s="2" t="s">
        <v>107</v>
      </c>
      <c r="AU92" s="2">
        <v>0</v>
      </c>
      <c r="AX92" s="2">
        <v>68</v>
      </c>
      <c r="BG92" s="23" t="str">
        <f t="shared" si="37"/>
        <v>MRM-20</v>
      </c>
      <c r="BH92" s="23">
        <f t="shared" si="38"/>
        <v>3</v>
      </c>
      <c r="BI92" s="23">
        <f t="shared" si="39"/>
        <v>7</v>
      </c>
      <c r="BJ92" s="23">
        <f t="shared" si="40"/>
        <v>125000</v>
      </c>
      <c r="BK92" s="23">
        <f t="shared" si="41"/>
        <v>112</v>
      </c>
      <c r="BL92" s="23">
        <f t="shared" si="42"/>
        <v>2</v>
      </c>
      <c r="BM92" s="23" t="str">
        <f t="shared" si="43"/>
        <v>Missile</v>
      </c>
      <c r="BN92" s="23">
        <f t="shared" si="44"/>
        <v>0</v>
      </c>
    </row>
    <row r="93" spans="39:66">
      <c r="AM93" s="2">
        <f t="shared" si="45"/>
        <v>69</v>
      </c>
      <c r="AN93" s="4" t="s">
        <v>96</v>
      </c>
      <c r="AO93" s="2">
        <v>1</v>
      </c>
      <c r="AP93" s="2">
        <v>1</v>
      </c>
      <c r="AQ93" s="14">
        <v>5000</v>
      </c>
      <c r="AR93" s="2">
        <v>14</v>
      </c>
      <c r="AS93" s="2">
        <v>2</v>
      </c>
      <c r="AT93" s="2" t="s">
        <v>105</v>
      </c>
      <c r="AU93" s="2">
        <v>0</v>
      </c>
      <c r="AX93" s="2">
        <v>69</v>
      </c>
      <c r="BG93" s="23" t="str">
        <f t="shared" si="37"/>
        <v>MRM-20 (Ammo 12)</v>
      </c>
      <c r="BH93" s="23">
        <f t="shared" si="38"/>
        <v>1</v>
      </c>
      <c r="BI93" s="23">
        <f t="shared" si="39"/>
        <v>1</v>
      </c>
      <c r="BJ93" s="23">
        <f t="shared" si="40"/>
        <v>5000</v>
      </c>
      <c r="BK93" s="23">
        <f t="shared" si="41"/>
        <v>14</v>
      </c>
      <c r="BL93" s="23">
        <f t="shared" si="42"/>
        <v>2</v>
      </c>
      <c r="BM93" s="23" t="str">
        <f t="shared" si="43"/>
        <v>Ammo</v>
      </c>
      <c r="BN93" s="23">
        <f t="shared" si="44"/>
        <v>0</v>
      </c>
    </row>
    <row r="94" spans="39:66">
      <c r="AM94" s="2">
        <f t="shared" si="45"/>
        <v>70</v>
      </c>
      <c r="AN94" s="4" t="s">
        <v>77</v>
      </c>
      <c r="AO94" s="2">
        <v>5</v>
      </c>
      <c r="AP94" s="2">
        <v>10</v>
      </c>
      <c r="AQ94" s="14">
        <v>225000</v>
      </c>
      <c r="AR94" s="2">
        <v>168</v>
      </c>
      <c r="AS94" s="2">
        <v>2</v>
      </c>
      <c r="AT94" s="2" t="s">
        <v>107</v>
      </c>
      <c r="AU94" s="2">
        <v>0</v>
      </c>
      <c r="AX94" s="2">
        <v>70</v>
      </c>
      <c r="BG94" s="23" t="str">
        <f t="shared" si="37"/>
        <v>MRM-30</v>
      </c>
      <c r="BH94" s="23">
        <f t="shared" si="38"/>
        <v>5</v>
      </c>
      <c r="BI94" s="23">
        <f t="shared" si="39"/>
        <v>10</v>
      </c>
      <c r="BJ94" s="23">
        <f t="shared" si="40"/>
        <v>225000</v>
      </c>
      <c r="BK94" s="23">
        <f t="shared" si="41"/>
        <v>168</v>
      </c>
      <c r="BL94" s="23">
        <f t="shared" si="42"/>
        <v>2</v>
      </c>
      <c r="BM94" s="23" t="str">
        <f t="shared" si="43"/>
        <v>Missile</v>
      </c>
      <c r="BN94" s="23">
        <f t="shared" si="44"/>
        <v>0</v>
      </c>
    </row>
    <row r="95" spans="39:66">
      <c r="AM95" s="2">
        <f t="shared" si="45"/>
        <v>71</v>
      </c>
      <c r="AN95" s="4" t="s">
        <v>95</v>
      </c>
      <c r="AO95" s="2">
        <v>1</v>
      </c>
      <c r="AP95" s="2">
        <v>1</v>
      </c>
      <c r="AQ95" s="14">
        <v>5000</v>
      </c>
      <c r="AR95" s="2">
        <v>21</v>
      </c>
      <c r="AS95" s="2">
        <v>2</v>
      </c>
      <c r="AT95" s="2" t="s">
        <v>105</v>
      </c>
      <c r="AU95" s="2">
        <v>0</v>
      </c>
      <c r="AX95" s="2">
        <v>71</v>
      </c>
      <c r="BG95" s="23" t="str">
        <f t="shared" si="37"/>
        <v>MRM-30 (Ammo 8)</v>
      </c>
      <c r="BH95" s="23">
        <f t="shared" si="38"/>
        <v>1</v>
      </c>
      <c r="BI95" s="23">
        <f t="shared" si="39"/>
        <v>1</v>
      </c>
      <c r="BJ95" s="23">
        <f t="shared" si="40"/>
        <v>5000</v>
      </c>
      <c r="BK95" s="23">
        <f t="shared" si="41"/>
        <v>21</v>
      </c>
      <c r="BL95" s="23">
        <f t="shared" si="42"/>
        <v>2</v>
      </c>
      <c r="BM95" s="23" t="str">
        <f t="shared" si="43"/>
        <v>Ammo</v>
      </c>
      <c r="BN95" s="23">
        <f t="shared" si="44"/>
        <v>0</v>
      </c>
    </row>
    <row r="96" spans="39:66">
      <c r="AM96" s="2">
        <f t="shared" si="45"/>
        <v>72</v>
      </c>
      <c r="AN96" s="4" t="s">
        <v>78</v>
      </c>
      <c r="AO96" s="2">
        <v>7</v>
      </c>
      <c r="AP96" s="2">
        <v>12</v>
      </c>
      <c r="AQ96" s="14">
        <v>350000</v>
      </c>
      <c r="AR96" s="2">
        <v>224</v>
      </c>
      <c r="AS96" s="2">
        <v>2</v>
      </c>
      <c r="AT96" s="2" t="s">
        <v>107</v>
      </c>
      <c r="AU96" s="2">
        <v>0</v>
      </c>
      <c r="AX96" s="2">
        <v>72</v>
      </c>
      <c r="BG96" s="23" t="str">
        <f t="shared" si="37"/>
        <v>MRM-40</v>
      </c>
      <c r="BH96" s="23">
        <f t="shared" si="38"/>
        <v>7</v>
      </c>
      <c r="BI96" s="23">
        <f t="shared" si="39"/>
        <v>12</v>
      </c>
      <c r="BJ96" s="23">
        <f t="shared" si="40"/>
        <v>350000</v>
      </c>
      <c r="BK96" s="23">
        <f t="shared" si="41"/>
        <v>224</v>
      </c>
      <c r="BL96" s="23">
        <f t="shared" si="42"/>
        <v>2</v>
      </c>
      <c r="BM96" s="23" t="str">
        <f t="shared" si="43"/>
        <v>Missile</v>
      </c>
      <c r="BN96" s="23">
        <f t="shared" si="44"/>
        <v>0</v>
      </c>
    </row>
    <row r="97" spans="39:66">
      <c r="AM97" s="2">
        <f t="shared" si="45"/>
        <v>73</v>
      </c>
      <c r="AN97" s="4" t="s">
        <v>97</v>
      </c>
      <c r="AO97" s="2">
        <v>1</v>
      </c>
      <c r="AP97" s="2">
        <v>1</v>
      </c>
      <c r="AQ97" s="14">
        <v>5000</v>
      </c>
      <c r="AR97" s="2">
        <v>28</v>
      </c>
      <c r="AS97" s="2">
        <v>2</v>
      </c>
      <c r="AT97" s="2" t="s">
        <v>105</v>
      </c>
      <c r="AU97" s="2">
        <v>0</v>
      </c>
      <c r="AX97" s="2">
        <v>73</v>
      </c>
      <c r="BG97" s="23" t="str">
        <f t="shared" si="37"/>
        <v>MRM-40 (Ammo 6)</v>
      </c>
      <c r="BH97" s="23">
        <f t="shared" si="38"/>
        <v>1</v>
      </c>
      <c r="BI97" s="23">
        <f t="shared" si="39"/>
        <v>1</v>
      </c>
      <c r="BJ97" s="23">
        <f t="shared" si="40"/>
        <v>5000</v>
      </c>
      <c r="BK97" s="23">
        <f t="shared" si="41"/>
        <v>28</v>
      </c>
      <c r="BL97" s="23">
        <f t="shared" si="42"/>
        <v>2</v>
      </c>
      <c r="BM97" s="23" t="str">
        <f t="shared" si="43"/>
        <v>Ammo</v>
      </c>
      <c r="BN97" s="23">
        <f t="shared" si="44"/>
        <v>0</v>
      </c>
    </row>
    <row r="98" spans="39:66">
      <c r="AM98" s="2">
        <f t="shared" si="45"/>
        <v>74</v>
      </c>
      <c r="AN98" s="4" t="s">
        <v>62</v>
      </c>
      <c r="AO98" s="2">
        <v>3</v>
      </c>
      <c r="AP98" s="2">
        <v>7</v>
      </c>
      <c r="AQ98" s="14">
        <v>200000</v>
      </c>
      <c r="AR98" s="2">
        <v>176</v>
      </c>
      <c r="AS98" s="2">
        <v>1</v>
      </c>
      <c r="AT98" s="2" t="s">
        <v>62</v>
      </c>
      <c r="AU98" s="2">
        <f>+AP98</f>
        <v>7</v>
      </c>
      <c r="AX98" s="2">
        <v>74</v>
      </c>
      <c r="BG98" s="23" t="str">
        <f t="shared" si="37"/>
        <v>PPC</v>
      </c>
      <c r="BH98" s="23">
        <f t="shared" si="38"/>
        <v>3</v>
      </c>
      <c r="BI98" s="23">
        <f t="shared" si="39"/>
        <v>7</v>
      </c>
      <c r="BJ98" s="23">
        <f t="shared" si="40"/>
        <v>200000</v>
      </c>
      <c r="BK98" s="23">
        <f t="shared" si="41"/>
        <v>176</v>
      </c>
      <c r="BL98" s="23">
        <f t="shared" si="42"/>
        <v>1</v>
      </c>
      <c r="BM98" s="23" t="str">
        <f t="shared" si="43"/>
        <v>PPC</v>
      </c>
      <c r="BN98" s="23">
        <f t="shared" si="44"/>
        <v>7</v>
      </c>
    </row>
    <row r="99" spans="39:66">
      <c r="AM99" s="2">
        <f t="shared" si="45"/>
        <v>75</v>
      </c>
      <c r="AN99" s="4" t="s">
        <v>71</v>
      </c>
      <c r="AO99" s="2">
        <v>4</v>
      </c>
      <c r="AP99" s="2">
        <v>8</v>
      </c>
      <c r="AQ99" s="14">
        <v>350000</v>
      </c>
      <c r="AR99" s="2">
        <v>268</v>
      </c>
      <c r="AS99" s="2">
        <v>3</v>
      </c>
      <c r="AT99" s="2" t="s">
        <v>62</v>
      </c>
      <c r="AU99" s="2">
        <f>+AP99</f>
        <v>8</v>
      </c>
      <c r="AX99" s="2">
        <v>75</v>
      </c>
      <c r="BG99" s="23" t="str">
        <f t="shared" si="37"/>
        <v>PPC w/Caps</v>
      </c>
      <c r="BH99" s="23">
        <f t="shared" si="38"/>
        <v>4</v>
      </c>
      <c r="BI99" s="23">
        <f t="shared" si="39"/>
        <v>8</v>
      </c>
      <c r="BJ99" s="23">
        <f t="shared" si="40"/>
        <v>350000</v>
      </c>
      <c r="BK99" s="23">
        <f t="shared" si="41"/>
        <v>268</v>
      </c>
      <c r="BL99" s="23">
        <f t="shared" si="42"/>
        <v>3</v>
      </c>
      <c r="BM99" s="23" t="str">
        <f t="shared" si="43"/>
        <v>PPC</v>
      </c>
      <c r="BN99" s="23">
        <f t="shared" si="44"/>
        <v>8</v>
      </c>
    </row>
    <row r="100" spans="39:66">
      <c r="AM100" s="2">
        <f t="shared" si="45"/>
        <v>76</v>
      </c>
      <c r="AN100" s="4" t="s">
        <v>240</v>
      </c>
      <c r="AO100" s="2">
        <v>-1</v>
      </c>
      <c r="AP100" s="15">
        <v>0</v>
      </c>
      <c r="AQ100" s="2">
        <f>-50*$H$4</f>
        <v>-500</v>
      </c>
      <c r="AS100" s="2">
        <v>0</v>
      </c>
      <c r="AT100" s="2" t="s">
        <v>138</v>
      </c>
      <c r="AU100" s="2">
        <v>0</v>
      </c>
      <c r="AX100" s="2">
        <v>76</v>
      </c>
      <c r="BG100" s="23" t="str">
        <f t="shared" si="37"/>
        <v>Remove Lower Arm Actuator</v>
      </c>
      <c r="BH100" s="23">
        <f t="shared" si="38"/>
        <v>-1</v>
      </c>
      <c r="BI100" s="23">
        <f t="shared" si="39"/>
        <v>0</v>
      </c>
      <c r="BJ100" s="23">
        <f t="shared" si="40"/>
        <v>-500</v>
      </c>
      <c r="BK100" s="23">
        <f t="shared" si="41"/>
        <v>0</v>
      </c>
      <c r="BL100" s="23">
        <f t="shared" si="42"/>
        <v>0</v>
      </c>
      <c r="BM100" s="23" t="str">
        <f t="shared" si="43"/>
        <v>Gear</v>
      </c>
      <c r="BN100" s="23">
        <f t="shared" si="44"/>
        <v>0</v>
      </c>
    </row>
    <row r="101" spans="39:66">
      <c r="AM101" s="2">
        <f t="shared" si="45"/>
        <v>77</v>
      </c>
      <c r="AN101" s="4" t="s">
        <v>239</v>
      </c>
      <c r="AO101" s="2">
        <v>-1</v>
      </c>
      <c r="AP101" s="15">
        <v>0</v>
      </c>
      <c r="AQ101" s="2">
        <f>-80*$H$4</f>
        <v>-800</v>
      </c>
      <c r="AS101" s="2">
        <v>0</v>
      </c>
      <c r="AT101" s="2" t="s">
        <v>138</v>
      </c>
      <c r="AU101" s="2">
        <v>0</v>
      </c>
      <c r="AX101" s="2">
        <v>77</v>
      </c>
      <c r="BG101" s="23" t="str">
        <f t="shared" si="37"/>
        <v>Removed Hand</v>
      </c>
      <c r="BH101" s="23">
        <f t="shared" si="38"/>
        <v>-1</v>
      </c>
      <c r="BI101" s="23">
        <f t="shared" si="39"/>
        <v>0</v>
      </c>
      <c r="BJ101" s="23">
        <f t="shared" si="40"/>
        <v>-800</v>
      </c>
      <c r="BK101" s="23">
        <f t="shared" si="41"/>
        <v>0</v>
      </c>
      <c r="BL101" s="23">
        <f t="shared" si="42"/>
        <v>0</v>
      </c>
      <c r="BM101" s="23" t="str">
        <f t="shared" si="43"/>
        <v>Gear</v>
      </c>
      <c r="BN101" s="23">
        <f t="shared" si="44"/>
        <v>0</v>
      </c>
    </row>
    <row r="102" spans="39:66">
      <c r="AM102" s="2">
        <f t="shared" si="45"/>
        <v>78</v>
      </c>
      <c r="AN102" s="4" t="s">
        <v>79</v>
      </c>
      <c r="AO102" s="2">
        <v>1</v>
      </c>
      <c r="AP102" s="2">
        <v>0.5</v>
      </c>
      <c r="AQ102" s="14">
        <v>15000</v>
      </c>
      <c r="AR102" s="2">
        <v>18</v>
      </c>
      <c r="AS102" s="2">
        <v>2</v>
      </c>
      <c r="AT102" s="2" t="s">
        <v>107</v>
      </c>
      <c r="AU102" s="2">
        <v>0</v>
      </c>
      <c r="AX102" s="2">
        <v>78</v>
      </c>
      <c r="BG102" s="23" t="str">
        <f t="shared" si="37"/>
        <v>Rocket Launcher 10</v>
      </c>
      <c r="BH102" s="23">
        <f t="shared" si="38"/>
        <v>1</v>
      </c>
      <c r="BI102" s="23">
        <f t="shared" si="39"/>
        <v>0.5</v>
      </c>
      <c r="BJ102" s="23">
        <f t="shared" si="40"/>
        <v>15000</v>
      </c>
      <c r="BK102" s="23">
        <f t="shared" si="41"/>
        <v>18</v>
      </c>
      <c r="BL102" s="23">
        <f t="shared" si="42"/>
        <v>2</v>
      </c>
      <c r="BM102" s="23" t="str">
        <f t="shared" si="43"/>
        <v>Missile</v>
      </c>
      <c r="BN102" s="23">
        <f t="shared" si="44"/>
        <v>0</v>
      </c>
    </row>
    <row r="103" spans="39:66">
      <c r="AM103" s="2">
        <f t="shared" si="45"/>
        <v>79</v>
      </c>
      <c r="AN103" s="4" t="s">
        <v>80</v>
      </c>
      <c r="AO103" s="2">
        <v>2</v>
      </c>
      <c r="AP103" s="2">
        <v>1</v>
      </c>
      <c r="AQ103" s="14">
        <v>30000</v>
      </c>
      <c r="AR103" s="2">
        <v>23</v>
      </c>
      <c r="AS103" s="2">
        <v>2</v>
      </c>
      <c r="AT103" s="2" t="s">
        <v>107</v>
      </c>
      <c r="AU103" s="2">
        <v>0</v>
      </c>
      <c r="AX103" s="2">
        <v>79</v>
      </c>
      <c r="BG103" s="23" t="str">
        <f t="shared" si="37"/>
        <v>Rocket Launcher 15</v>
      </c>
      <c r="BH103" s="23">
        <f t="shared" si="38"/>
        <v>2</v>
      </c>
      <c r="BI103" s="23">
        <f t="shared" si="39"/>
        <v>1</v>
      </c>
      <c r="BJ103" s="23">
        <f t="shared" si="40"/>
        <v>30000</v>
      </c>
      <c r="BK103" s="23">
        <f t="shared" si="41"/>
        <v>23</v>
      </c>
      <c r="BL103" s="23">
        <f t="shared" si="42"/>
        <v>2</v>
      </c>
      <c r="BM103" s="23" t="str">
        <f t="shared" si="43"/>
        <v>Missile</v>
      </c>
      <c r="BN103" s="23">
        <f t="shared" si="44"/>
        <v>0</v>
      </c>
    </row>
    <row r="104" spans="39:66">
      <c r="AM104" s="2">
        <f t="shared" si="45"/>
        <v>80</v>
      </c>
      <c r="AN104" s="4" t="s">
        <v>81</v>
      </c>
      <c r="AO104" s="2">
        <v>3</v>
      </c>
      <c r="AP104" s="2">
        <v>1.5</v>
      </c>
      <c r="AQ104" s="14">
        <v>45000</v>
      </c>
      <c r="AR104" s="2">
        <v>24</v>
      </c>
      <c r="AS104" s="2">
        <v>2</v>
      </c>
      <c r="AT104" s="2" t="s">
        <v>107</v>
      </c>
      <c r="AU104" s="2">
        <v>0</v>
      </c>
      <c r="AX104" s="2">
        <v>80</v>
      </c>
      <c r="BG104" s="23" t="str">
        <f t="shared" si="37"/>
        <v>Rocket Launcher 20</v>
      </c>
      <c r="BH104" s="23">
        <f t="shared" si="38"/>
        <v>3</v>
      </c>
      <c r="BI104" s="23">
        <f t="shared" si="39"/>
        <v>1.5</v>
      </c>
      <c r="BJ104" s="23">
        <f t="shared" si="40"/>
        <v>45000</v>
      </c>
      <c r="BK104" s="23">
        <f t="shared" si="41"/>
        <v>24</v>
      </c>
      <c r="BL104" s="23">
        <f t="shared" si="42"/>
        <v>2</v>
      </c>
      <c r="BM104" s="23" t="str">
        <f t="shared" si="43"/>
        <v>Missile</v>
      </c>
      <c r="BN104" s="23">
        <f t="shared" si="44"/>
        <v>0</v>
      </c>
    </row>
    <row r="105" spans="39:66">
      <c r="AM105" s="2">
        <f t="shared" si="45"/>
        <v>81</v>
      </c>
      <c r="AN105" s="4" t="s">
        <v>56</v>
      </c>
      <c r="AO105" s="2">
        <v>1</v>
      </c>
      <c r="AP105" s="2">
        <v>0.5</v>
      </c>
      <c r="AQ105" s="14">
        <v>11250</v>
      </c>
      <c r="AR105" s="2">
        <v>9</v>
      </c>
      <c r="AS105" s="2">
        <v>1</v>
      </c>
      <c r="AT105" s="2" t="s">
        <v>106</v>
      </c>
      <c r="AU105" s="2">
        <f>+AP105</f>
        <v>0.5</v>
      </c>
      <c r="AX105" s="2">
        <v>81</v>
      </c>
      <c r="BG105" s="23" t="str">
        <f t="shared" si="37"/>
        <v>Small Laser</v>
      </c>
      <c r="BH105" s="23">
        <f t="shared" si="38"/>
        <v>1</v>
      </c>
      <c r="BI105" s="23">
        <f t="shared" si="39"/>
        <v>0.5</v>
      </c>
      <c r="BJ105" s="23">
        <f t="shared" si="40"/>
        <v>11250</v>
      </c>
      <c r="BK105" s="23">
        <f t="shared" si="41"/>
        <v>9</v>
      </c>
      <c r="BL105" s="23">
        <f t="shared" si="42"/>
        <v>1</v>
      </c>
      <c r="BM105" s="23" t="str">
        <f t="shared" si="43"/>
        <v>Laser</v>
      </c>
      <c r="BN105" s="23">
        <f t="shared" si="44"/>
        <v>0.5</v>
      </c>
    </row>
    <row r="106" spans="39:66">
      <c r="AM106" s="2">
        <f t="shared" si="45"/>
        <v>82</v>
      </c>
      <c r="AN106" s="4" t="s">
        <v>133</v>
      </c>
      <c r="AO106" s="2">
        <v>1</v>
      </c>
      <c r="AP106" s="2">
        <v>1</v>
      </c>
      <c r="AQ106" s="14">
        <v>16000</v>
      </c>
      <c r="AR106" s="2">
        <v>12</v>
      </c>
      <c r="AS106" s="2">
        <v>2</v>
      </c>
      <c r="AT106" s="2" t="s">
        <v>106</v>
      </c>
      <c r="AU106" s="2">
        <f>+AP106</f>
        <v>1</v>
      </c>
      <c r="AX106" s="2">
        <v>82</v>
      </c>
      <c r="BG106" s="23" t="str">
        <f t="shared" si="37"/>
        <v>Small Pulse</v>
      </c>
      <c r="BH106" s="23">
        <f t="shared" si="38"/>
        <v>1</v>
      </c>
      <c r="BI106" s="23">
        <f t="shared" si="39"/>
        <v>1</v>
      </c>
      <c r="BJ106" s="23">
        <f t="shared" si="40"/>
        <v>16000</v>
      </c>
      <c r="BK106" s="23">
        <f t="shared" si="41"/>
        <v>12</v>
      </c>
      <c r="BL106" s="23">
        <f t="shared" si="42"/>
        <v>2</v>
      </c>
      <c r="BM106" s="23" t="str">
        <f t="shared" si="43"/>
        <v>Laser</v>
      </c>
      <c r="BN106" s="23">
        <f t="shared" si="44"/>
        <v>1</v>
      </c>
    </row>
    <row r="107" spans="39:66">
      <c r="AM107" s="2">
        <f t="shared" si="45"/>
        <v>83</v>
      </c>
      <c r="AN107" s="4" t="s">
        <v>64</v>
      </c>
      <c r="AO107" s="2">
        <v>1</v>
      </c>
      <c r="AP107" s="2">
        <v>1</v>
      </c>
      <c r="AQ107" s="14">
        <v>10000</v>
      </c>
      <c r="AR107" s="2">
        <v>21</v>
      </c>
      <c r="AS107" s="2">
        <v>1</v>
      </c>
      <c r="AT107" s="2" t="s">
        <v>107</v>
      </c>
      <c r="AU107" s="2">
        <v>0</v>
      </c>
      <c r="AX107" s="2">
        <v>83</v>
      </c>
      <c r="BG107" s="23" t="str">
        <f t="shared" ref="BG107:BG138" si="46">IF($F$1="IS",AN107,IF($F$1="Clan",AY107,"Try agian"))</f>
        <v>SRM-2</v>
      </c>
      <c r="BH107" s="23">
        <f t="shared" ref="BH107:BH138" si="47">IF($F$1="IS",AO107,IF($F$1="Clan",AZ107,"Try agian"))</f>
        <v>1</v>
      </c>
      <c r="BI107" s="23">
        <f t="shared" ref="BI107:BI138" si="48">IF($F$1="IS",AP107,IF($F$1="Clan",BA107,"Try agian"))</f>
        <v>1</v>
      </c>
      <c r="BJ107" s="23">
        <f t="shared" ref="BJ107:BJ138" si="49">IF($F$1="IS",AQ107,IF($F$1="Clan",BB107,"Try agian"))</f>
        <v>10000</v>
      </c>
      <c r="BK107" s="23">
        <f t="shared" ref="BK107:BK138" si="50">IF($F$1="IS",AR107,IF($F$1="Clan",BC107,"Try agian"))</f>
        <v>21</v>
      </c>
      <c r="BL107" s="23">
        <f t="shared" ref="BL107:BL138" si="51">IF($F$1="IS",AS107,IF($F$1="Clan",BD107,"Try agian"))</f>
        <v>1</v>
      </c>
      <c r="BM107" s="23" t="str">
        <f t="shared" ref="BM107:BM138" si="52">IF($F$1="IS",AT107,IF($F$1="Clan",BE107,"Try agian"))</f>
        <v>Missile</v>
      </c>
      <c r="BN107" s="23">
        <f t="shared" ref="BN107:BN138" si="53">IF($F$1="IS",AU107,IF($F$1="Clan",BF107,"Try agian"))</f>
        <v>0</v>
      </c>
    </row>
    <row r="108" spans="39:66">
      <c r="AM108" s="2">
        <f t="shared" si="45"/>
        <v>84</v>
      </c>
      <c r="AN108" s="4" t="s">
        <v>86</v>
      </c>
      <c r="AO108" s="2">
        <v>1</v>
      </c>
      <c r="AP108" s="2">
        <v>1</v>
      </c>
      <c r="AQ108" s="14">
        <v>27000</v>
      </c>
      <c r="AR108" s="2">
        <v>3</v>
      </c>
      <c r="AS108" s="2">
        <v>1</v>
      </c>
      <c r="AT108" s="2" t="s">
        <v>105</v>
      </c>
      <c r="AU108" s="2">
        <v>0</v>
      </c>
      <c r="AX108" s="2">
        <v>84</v>
      </c>
      <c r="BG108" s="23" t="str">
        <f t="shared" si="46"/>
        <v>SRM-2 (Ammo 50)</v>
      </c>
      <c r="BH108" s="23">
        <f t="shared" si="47"/>
        <v>1</v>
      </c>
      <c r="BI108" s="23">
        <f t="shared" si="48"/>
        <v>1</v>
      </c>
      <c r="BJ108" s="23">
        <f t="shared" si="49"/>
        <v>27000</v>
      </c>
      <c r="BK108" s="23">
        <f t="shared" si="50"/>
        <v>3</v>
      </c>
      <c r="BL108" s="23">
        <f t="shared" si="51"/>
        <v>1</v>
      </c>
      <c r="BM108" s="23" t="str">
        <f t="shared" si="52"/>
        <v>Ammo</v>
      </c>
      <c r="BN108" s="23">
        <f t="shared" si="53"/>
        <v>0</v>
      </c>
    </row>
    <row r="109" spans="39:66">
      <c r="AM109" s="2">
        <f t="shared" si="45"/>
        <v>85</v>
      </c>
      <c r="AN109" s="4" t="s">
        <v>221</v>
      </c>
      <c r="AO109" s="2">
        <v>1</v>
      </c>
      <c r="AP109" s="2">
        <v>1</v>
      </c>
      <c r="AQ109" s="14">
        <f>27000*2</f>
        <v>54000</v>
      </c>
      <c r="AR109" s="2">
        <v>3</v>
      </c>
      <c r="AS109" s="2">
        <v>1</v>
      </c>
      <c r="AT109" s="2" t="s">
        <v>105</v>
      </c>
      <c r="AU109" s="2">
        <v>0</v>
      </c>
      <c r="AX109" s="2">
        <v>85</v>
      </c>
      <c r="BG109" s="23" t="str">
        <f t="shared" si="46"/>
        <v>SRM-2 (Ammo 50)Artemis</v>
      </c>
      <c r="BH109" s="23">
        <f t="shared" si="47"/>
        <v>1</v>
      </c>
      <c r="BI109" s="23">
        <f t="shared" si="48"/>
        <v>1</v>
      </c>
      <c r="BJ109" s="23">
        <f t="shared" si="49"/>
        <v>54000</v>
      </c>
      <c r="BK109" s="23">
        <f t="shared" si="50"/>
        <v>3</v>
      </c>
      <c r="BL109" s="23">
        <f t="shared" si="51"/>
        <v>1</v>
      </c>
      <c r="BM109" s="23" t="str">
        <f t="shared" si="52"/>
        <v>Ammo</v>
      </c>
      <c r="BN109" s="23">
        <f t="shared" si="53"/>
        <v>0</v>
      </c>
    </row>
    <row r="110" spans="39:66">
      <c r="AM110" s="2">
        <f t="shared" si="45"/>
        <v>86</v>
      </c>
      <c r="AN110" s="4" t="s">
        <v>214</v>
      </c>
      <c r="AO110" s="2">
        <v>2</v>
      </c>
      <c r="AP110" s="2">
        <v>2</v>
      </c>
      <c r="AQ110" s="14">
        <f>10000+100000</f>
        <v>110000</v>
      </c>
      <c r="AR110" s="2">
        <f>21*1.2</f>
        <v>25.2</v>
      </c>
      <c r="AS110" s="2">
        <v>1</v>
      </c>
      <c r="AT110" s="2" t="s">
        <v>107</v>
      </c>
      <c r="AU110" s="2">
        <v>0</v>
      </c>
      <c r="AX110" s="2">
        <v>86</v>
      </c>
      <c r="BG110" s="23" t="str">
        <f t="shared" si="46"/>
        <v>SRM-2 w/Artemis IV FCS</v>
      </c>
      <c r="BH110" s="23">
        <f t="shared" si="47"/>
        <v>2</v>
      </c>
      <c r="BI110" s="23">
        <f t="shared" si="48"/>
        <v>2</v>
      </c>
      <c r="BJ110" s="23">
        <f t="shared" si="49"/>
        <v>110000</v>
      </c>
      <c r="BK110" s="23">
        <f t="shared" si="50"/>
        <v>25.2</v>
      </c>
      <c r="BL110" s="23">
        <f t="shared" si="51"/>
        <v>1</v>
      </c>
      <c r="BM110" s="23" t="str">
        <f t="shared" si="52"/>
        <v>Missile</v>
      </c>
      <c r="BN110" s="23">
        <f t="shared" si="53"/>
        <v>0</v>
      </c>
    </row>
    <row r="111" spans="39:66">
      <c r="AM111" s="2">
        <f t="shared" si="45"/>
        <v>87</v>
      </c>
      <c r="AN111" s="4" t="s">
        <v>65</v>
      </c>
      <c r="AO111" s="2">
        <v>1</v>
      </c>
      <c r="AP111" s="2">
        <v>2</v>
      </c>
      <c r="AQ111" s="14">
        <v>60000</v>
      </c>
      <c r="AR111" s="2">
        <v>39</v>
      </c>
      <c r="AS111" s="2">
        <v>1</v>
      </c>
      <c r="AT111" s="2" t="s">
        <v>107</v>
      </c>
      <c r="AU111" s="2">
        <v>0</v>
      </c>
      <c r="AX111" s="2">
        <v>87</v>
      </c>
      <c r="BG111" s="23" t="str">
        <f t="shared" si="46"/>
        <v>SRM-4</v>
      </c>
      <c r="BH111" s="23">
        <f t="shared" si="47"/>
        <v>1</v>
      </c>
      <c r="BI111" s="23">
        <f t="shared" si="48"/>
        <v>2</v>
      </c>
      <c r="BJ111" s="23">
        <f t="shared" si="49"/>
        <v>60000</v>
      </c>
      <c r="BK111" s="23">
        <f t="shared" si="50"/>
        <v>39</v>
      </c>
      <c r="BL111" s="23">
        <f t="shared" si="51"/>
        <v>1</v>
      </c>
      <c r="BM111" s="23" t="str">
        <f t="shared" si="52"/>
        <v>Missile</v>
      </c>
      <c r="BN111" s="23">
        <f t="shared" si="53"/>
        <v>0</v>
      </c>
    </row>
    <row r="112" spans="39:66">
      <c r="AM112" s="2">
        <f t="shared" si="45"/>
        <v>88</v>
      </c>
      <c r="AN112" s="4" t="s">
        <v>85</v>
      </c>
      <c r="AO112" s="2">
        <v>1</v>
      </c>
      <c r="AP112" s="2">
        <v>1</v>
      </c>
      <c r="AQ112" s="14">
        <v>27000</v>
      </c>
      <c r="AR112" s="2">
        <v>5</v>
      </c>
      <c r="AS112" s="2">
        <v>1</v>
      </c>
      <c r="AT112" s="2" t="s">
        <v>105</v>
      </c>
      <c r="AU112" s="2">
        <v>0</v>
      </c>
      <c r="AX112" s="2">
        <v>88</v>
      </c>
      <c r="BG112" s="23" t="str">
        <f t="shared" si="46"/>
        <v>SRM-4 (Ammo 25)</v>
      </c>
      <c r="BH112" s="23">
        <f t="shared" si="47"/>
        <v>1</v>
      </c>
      <c r="BI112" s="23">
        <f t="shared" si="48"/>
        <v>1</v>
      </c>
      <c r="BJ112" s="23">
        <f t="shared" si="49"/>
        <v>27000</v>
      </c>
      <c r="BK112" s="23">
        <f t="shared" si="50"/>
        <v>5</v>
      </c>
      <c r="BL112" s="23">
        <f t="shared" si="51"/>
        <v>1</v>
      </c>
      <c r="BM112" s="23" t="str">
        <f t="shared" si="52"/>
        <v>Ammo</v>
      </c>
      <c r="BN112" s="23">
        <f t="shared" si="53"/>
        <v>0</v>
      </c>
    </row>
    <row r="113" spans="32:66">
      <c r="AM113" s="2">
        <f t="shared" si="45"/>
        <v>89</v>
      </c>
      <c r="AN113" s="4" t="s">
        <v>222</v>
      </c>
      <c r="AO113" s="2">
        <v>1</v>
      </c>
      <c r="AP113" s="2">
        <v>1</v>
      </c>
      <c r="AQ113" s="14">
        <f>27000*2</f>
        <v>54000</v>
      </c>
      <c r="AR113" s="2">
        <v>5</v>
      </c>
      <c r="AS113" s="2">
        <v>1</v>
      </c>
      <c r="AT113" s="2" t="s">
        <v>105</v>
      </c>
      <c r="AU113" s="2">
        <v>0</v>
      </c>
      <c r="AX113" s="2">
        <v>89</v>
      </c>
      <c r="BG113" s="23" t="str">
        <f t="shared" si="46"/>
        <v>SRM-4 (Ammo 25)Artemis</v>
      </c>
      <c r="BH113" s="23">
        <f t="shared" si="47"/>
        <v>1</v>
      </c>
      <c r="BI113" s="23">
        <f t="shared" si="48"/>
        <v>1</v>
      </c>
      <c r="BJ113" s="23">
        <f t="shared" si="49"/>
        <v>54000</v>
      </c>
      <c r="BK113" s="23">
        <f t="shared" si="50"/>
        <v>5</v>
      </c>
      <c r="BL113" s="23">
        <f t="shared" si="51"/>
        <v>1</v>
      </c>
      <c r="BM113" s="23" t="str">
        <f t="shared" si="52"/>
        <v>Ammo</v>
      </c>
      <c r="BN113" s="23">
        <f t="shared" si="53"/>
        <v>0</v>
      </c>
    </row>
    <row r="114" spans="32:66">
      <c r="AM114" s="2">
        <f t="shared" si="45"/>
        <v>90</v>
      </c>
      <c r="AN114" s="4" t="s">
        <v>215</v>
      </c>
      <c r="AO114" s="2">
        <v>2</v>
      </c>
      <c r="AP114" s="2">
        <v>3</v>
      </c>
      <c r="AQ114" s="14">
        <f>60000+100000</f>
        <v>160000</v>
      </c>
      <c r="AR114" s="2">
        <f>39*1.2</f>
        <v>46.8</v>
      </c>
      <c r="AS114" s="2">
        <v>1</v>
      </c>
      <c r="AT114" s="2" t="s">
        <v>107</v>
      </c>
      <c r="AU114" s="2">
        <v>0</v>
      </c>
      <c r="AX114" s="2">
        <v>90</v>
      </c>
      <c r="BG114" s="23" t="str">
        <f t="shared" si="46"/>
        <v>SRM-4 w/Artemis IV FCS</v>
      </c>
      <c r="BH114" s="23">
        <f t="shared" si="47"/>
        <v>2</v>
      </c>
      <c r="BI114" s="23">
        <f t="shared" si="48"/>
        <v>3</v>
      </c>
      <c r="BJ114" s="23">
        <f t="shared" si="49"/>
        <v>160000</v>
      </c>
      <c r="BK114" s="23">
        <f t="shared" si="50"/>
        <v>46.8</v>
      </c>
      <c r="BL114" s="23">
        <f t="shared" si="51"/>
        <v>1</v>
      </c>
      <c r="BM114" s="23" t="str">
        <f t="shared" si="52"/>
        <v>Missile</v>
      </c>
      <c r="BN114" s="23">
        <f t="shared" si="53"/>
        <v>0</v>
      </c>
    </row>
    <row r="115" spans="32:66">
      <c r="AM115" s="2">
        <f t="shared" si="45"/>
        <v>91</v>
      </c>
      <c r="AN115" s="4" t="s">
        <v>66</v>
      </c>
      <c r="AO115" s="2">
        <v>2</v>
      </c>
      <c r="AP115" s="2">
        <v>3</v>
      </c>
      <c r="AQ115" s="14">
        <v>80000</v>
      </c>
      <c r="AR115" s="2">
        <v>59</v>
      </c>
      <c r="AS115" s="2">
        <v>1</v>
      </c>
      <c r="AT115" s="2" t="s">
        <v>107</v>
      </c>
      <c r="AU115" s="2">
        <v>0</v>
      </c>
      <c r="AX115" s="2">
        <v>91</v>
      </c>
      <c r="BG115" s="23" t="str">
        <f t="shared" si="46"/>
        <v>SRM-6</v>
      </c>
      <c r="BH115" s="23">
        <f t="shared" si="47"/>
        <v>2</v>
      </c>
      <c r="BI115" s="23">
        <f t="shared" si="48"/>
        <v>3</v>
      </c>
      <c r="BJ115" s="23">
        <f t="shared" si="49"/>
        <v>80000</v>
      </c>
      <c r="BK115" s="23">
        <f t="shared" si="50"/>
        <v>59</v>
      </c>
      <c r="BL115" s="23">
        <f t="shared" si="51"/>
        <v>1</v>
      </c>
      <c r="BM115" s="23" t="str">
        <f t="shared" si="52"/>
        <v>Missile</v>
      </c>
      <c r="BN115" s="23">
        <f t="shared" si="53"/>
        <v>0</v>
      </c>
    </row>
    <row r="116" spans="32:66">
      <c r="AM116" s="2">
        <f t="shared" si="45"/>
        <v>92</v>
      </c>
      <c r="AN116" s="4" t="s">
        <v>87</v>
      </c>
      <c r="AO116" s="2">
        <v>1</v>
      </c>
      <c r="AP116" s="2">
        <v>1</v>
      </c>
      <c r="AQ116" s="14">
        <v>27000</v>
      </c>
      <c r="AR116" s="2">
        <v>7</v>
      </c>
      <c r="AS116" s="2">
        <v>1</v>
      </c>
      <c r="AT116" s="2" t="s">
        <v>105</v>
      </c>
      <c r="AU116" s="2">
        <v>0</v>
      </c>
      <c r="AX116" s="2">
        <v>92</v>
      </c>
      <c r="BG116" s="23" t="str">
        <f t="shared" si="46"/>
        <v>SRM-6  (Ammo 15)</v>
      </c>
      <c r="BH116" s="23">
        <f t="shared" si="47"/>
        <v>1</v>
      </c>
      <c r="BI116" s="23">
        <f t="shared" si="48"/>
        <v>1</v>
      </c>
      <c r="BJ116" s="23">
        <f t="shared" si="49"/>
        <v>27000</v>
      </c>
      <c r="BK116" s="23">
        <f t="shared" si="50"/>
        <v>7</v>
      </c>
      <c r="BL116" s="23">
        <f t="shared" si="51"/>
        <v>1</v>
      </c>
      <c r="BM116" s="23" t="str">
        <f t="shared" si="52"/>
        <v>Ammo</v>
      </c>
      <c r="BN116" s="23">
        <f t="shared" si="53"/>
        <v>0</v>
      </c>
    </row>
    <row r="117" spans="32:66">
      <c r="AM117" s="2">
        <f t="shared" si="45"/>
        <v>93</v>
      </c>
      <c r="AN117" s="4" t="s">
        <v>223</v>
      </c>
      <c r="AO117" s="2">
        <v>1</v>
      </c>
      <c r="AP117" s="2">
        <v>1</v>
      </c>
      <c r="AQ117" s="14">
        <f>27000*2</f>
        <v>54000</v>
      </c>
      <c r="AR117" s="2">
        <v>7</v>
      </c>
      <c r="AS117" s="2">
        <v>1</v>
      </c>
      <c r="AT117" s="2" t="s">
        <v>105</v>
      </c>
      <c r="AU117" s="2">
        <v>0</v>
      </c>
      <c r="AX117" s="2">
        <v>93</v>
      </c>
      <c r="BG117" s="23" t="str">
        <f t="shared" si="46"/>
        <v>SRM-6  (Ammo 15)Artemis</v>
      </c>
      <c r="BH117" s="23">
        <f t="shared" si="47"/>
        <v>1</v>
      </c>
      <c r="BI117" s="23">
        <f t="shared" si="48"/>
        <v>1</v>
      </c>
      <c r="BJ117" s="23">
        <f t="shared" si="49"/>
        <v>54000</v>
      </c>
      <c r="BK117" s="23">
        <f t="shared" si="50"/>
        <v>7</v>
      </c>
      <c r="BL117" s="23">
        <f t="shared" si="51"/>
        <v>1</v>
      </c>
      <c r="BM117" s="23" t="str">
        <f t="shared" si="52"/>
        <v>Ammo</v>
      </c>
      <c r="BN117" s="23">
        <f t="shared" si="53"/>
        <v>0</v>
      </c>
    </row>
    <row r="118" spans="32:66">
      <c r="AM118" s="2">
        <f t="shared" si="45"/>
        <v>94</v>
      </c>
      <c r="AN118" s="4" t="s">
        <v>216</v>
      </c>
      <c r="AO118" s="2">
        <v>3</v>
      </c>
      <c r="AP118" s="2">
        <v>4</v>
      </c>
      <c r="AQ118" s="14">
        <f>80000+100000</f>
        <v>180000</v>
      </c>
      <c r="AR118" s="2">
        <f>59*1.2</f>
        <v>70.8</v>
      </c>
      <c r="AS118" s="2">
        <v>1</v>
      </c>
      <c r="AT118" s="2" t="s">
        <v>107</v>
      </c>
      <c r="AU118" s="2">
        <v>0</v>
      </c>
      <c r="AX118" s="2">
        <v>94</v>
      </c>
      <c r="BG118" s="23" t="str">
        <f t="shared" si="46"/>
        <v>SRM-6  w/Artemis IV FCS</v>
      </c>
      <c r="BH118" s="23">
        <f t="shared" si="47"/>
        <v>3</v>
      </c>
      <c r="BI118" s="23">
        <f t="shared" si="48"/>
        <v>4</v>
      </c>
      <c r="BJ118" s="23">
        <f t="shared" si="49"/>
        <v>180000</v>
      </c>
      <c r="BK118" s="23">
        <f t="shared" si="50"/>
        <v>70.8</v>
      </c>
      <c r="BL118" s="23">
        <f t="shared" si="51"/>
        <v>1</v>
      </c>
      <c r="BM118" s="23" t="str">
        <f t="shared" si="52"/>
        <v>Missile</v>
      </c>
      <c r="BN118" s="23">
        <f t="shared" si="53"/>
        <v>0</v>
      </c>
    </row>
    <row r="119" spans="32:66">
      <c r="AF119" s="2" t="s">
        <v>228</v>
      </c>
      <c r="AM119" s="2">
        <f t="shared" si="45"/>
        <v>95</v>
      </c>
      <c r="AN119" s="4" t="s">
        <v>67</v>
      </c>
      <c r="AO119" s="2">
        <v>1</v>
      </c>
      <c r="AP119" s="2">
        <v>1.5</v>
      </c>
      <c r="AQ119" s="14">
        <v>15000</v>
      </c>
      <c r="AR119" s="2">
        <v>30</v>
      </c>
      <c r="AS119" s="2">
        <v>2</v>
      </c>
      <c r="AT119" s="2" t="s">
        <v>107</v>
      </c>
      <c r="AU119" s="2">
        <v>0</v>
      </c>
      <c r="AX119" s="2">
        <v>95</v>
      </c>
      <c r="BG119" s="23" t="str">
        <f t="shared" si="46"/>
        <v>Streaks-SRM2</v>
      </c>
      <c r="BH119" s="23">
        <f t="shared" si="47"/>
        <v>1</v>
      </c>
      <c r="BI119" s="23">
        <f t="shared" si="48"/>
        <v>1.5</v>
      </c>
      <c r="BJ119" s="23">
        <f t="shared" si="49"/>
        <v>15000</v>
      </c>
      <c r="BK119" s="23">
        <f t="shared" si="50"/>
        <v>30</v>
      </c>
      <c r="BL119" s="23">
        <f t="shared" si="51"/>
        <v>2</v>
      </c>
      <c r="BM119" s="23" t="str">
        <f t="shared" si="52"/>
        <v>Missile</v>
      </c>
      <c r="BN119" s="23">
        <f t="shared" si="53"/>
        <v>0</v>
      </c>
    </row>
    <row r="120" spans="32:66">
      <c r="AF120" s="2">
        <v>10</v>
      </c>
      <c r="AG120" s="2">
        <v>1</v>
      </c>
      <c r="AM120" s="2">
        <f t="shared" si="45"/>
        <v>96</v>
      </c>
      <c r="AN120" s="4" t="s">
        <v>89</v>
      </c>
      <c r="AO120" s="2">
        <v>1</v>
      </c>
      <c r="AP120" s="2">
        <v>1</v>
      </c>
      <c r="AQ120" s="14">
        <v>54000</v>
      </c>
      <c r="AR120" s="2">
        <v>3</v>
      </c>
      <c r="AS120" s="2">
        <v>2</v>
      </c>
      <c r="AT120" s="2" t="s">
        <v>105</v>
      </c>
      <c r="AU120" s="2">
        <v>0</v>
      </c>
      <c r="AX120" s="2">
        <v>96</v>
      </c>
      <c r="BG120" s="23" t="str">
        <f t="shared" si="46"/>
        <v>Streaks-SRM2 (Ammo 50)</v>
      </c>
      <c r="BH120" s="23">
        <f t="shared" si="47"/>
        <v>1</v>
      </c>
      <c r="BI120" s="23">
        <f t="shared" si="48"/>
        <v>1</v>
      </c>
      <c r="BJ120" s="23">
        <f t="shared" si="49"/>
        <v>54000</v>
      </c>
      <c r="BK120" s="23">
        <f t="shared" si="50"/>
        <v>3</v>
      </c>
      <c r="BL120" s="23">
        <f t="shared" si="51"/>
        <v>2</v>
      </c>
      <c r="BM120" s="23" t="str">
        <f t="shared" si="52"/>
        <v>Ammo</v>
      </c>
      <c r="BN120" s="23">
        <f t="shared" si="53"/>
        <v>0</v>
      </c>
    </row>
    <row r="121" spans="32:66">
      <c r="AF121" s="2">
        <v>15</v>
      </c>
      <c r="AG121" s="2">
        <v>1</v>
      </c>
      <c r="AM121" s="2">
        <f t="shared" si="45"/>
        <v>97</v>
      </c>
      <c r="AN121" s="4" t="s">
        <v>68</v>
      </c>
      <c r="AO121" s="2">
        <v>1</v>
      </c>
      <c r="AP121" s="2">
        <v>3</v>
      </c>
      <c r="AQ121" s="14">
        <v>90000</v>
      </c>
      <c r="AR121" s="2">
        <v>59</v>
      </c>
      <c r="AS121" s="2">
        <v>2</v>
      </c>
      <c r="AT121" s="2" t="s">
        <v>107</v>
      </c>
      <c r="AU121" s="2">
        <v>0</v>
      </c>
      <c r="AX121" s="2">
        <v>97</v>
      </c>
      <c r="BG121" s="23" t="str">
        <f t="shared" si="46"/>
        <v>Streaks-SRM4</v>
      </c>
      <c r="BH121" s="23">
        <f t="shared" si="47"/>
        <v>1</v>
      </c>
      <c r="BI121" s="23">
        <f t="shared" si="48"/>
        <v>3</v>
      </c>
      <c r="BJ121" s="23">
        <f t="shared" si="49"/>
        <v>90000</v>
      </c>
      <c r="BK121" s="23">
        <f t="shared" si="50"/>
        <v>59</v>
      </c>
      <c r="BL121" s="23">
        <f t="shared" si="51"/>
        <v>2</v>
      </c>
      <c r="BM121" s="23" t="str">
        <f t="shared" si="52"/>
        <v>Missile</v>
      </c>
      <c r="BN121" s="23">
        <f t="shared" si="53"/>
        <v>0</v>
      </c>
    </row>
    <row r="122" spans="32:66">
      <c r="AF122" s="2">
        <f>+AF121+5</f>
        <v>20</v>
      </c>
      <c r="AG122" s="2">
        <f t="shared" ref="AG122:AG138" si="54">+AF122/20</f>
        <v>1</v>
      </c>
      <c r="AM122" s="2">
        <f t="shared" si="45"/>
        <v>98</v>
      </c>
      <c r="AN122" s="4" t="s">
        <v>88</v>
      </c>
      <c r="AO122" s="2">
        <v>1</v>
      </c>
      <c r="AP122" s="2">
        <v>1</v>
      </c>
      <c r="AQ122" s="14">
        <v>54000</v>
      </c>
      <c r="AR122" s="2">
        <v>5</v>
      </c>
      <c r="AS122" s="2">
        <v>2</v>
      </c>
      <c r="AT122" s="2" t="s">
        <v>105</v>
      </c>
      <c r="AU122" s="2">
        <v>0</v>
      </c>
      <c r="AX122" s="2">
        <v>98</v>
      </c>
      <c r="BG122" s="23" t="str">
        <f t="shared" si="46"/>
        <v>Streaks-SRM4 (Ammo 25)</v>
      </c>
      <c r="BH122" s="23">
        <f t="shared" si="47"/>
        <v>1</v>
      </c>
      <c r="BI122" s="23">
        <f t="shared" si="48"/>
        <v>1</v>
      </c>
      <c r="BJ122" s="23">
        <f t="shared" si="49"/>
        <v>54000</v>
      </c>
      <c r="BK122" s="23">
        <f t="shared" si="50"/>
        <v>5</v>
      </c>
      <c r="BL122" s="23">
        <f t="shared" si="51"/>
        <v>2</v>
      </c>
      <c r="BM122" s="23" t="str">
        <f t="shared" si="52"/>
        <v>Ammo</v>
      </c>
      <c r="BN122" s="23">
        <f t="shared" si="53"/>
        <v>0</v>
      </c>
    </row>
    <row r="123" spans="32:66">
      <c r="AF123" s="2">
        <f t="shared" ref="AF123:AF138" si="55">+AF122+5</f>
        <v>25</v>
      </c>
      <c r="AG123" s="2">
        <v>1.5</v>
      </c>
      <c r="AM123" s="2">
        <f t="shared" si="45"/>
        <v>99</v>
      </c>
      <c r="AN123" s="4" t="s">
        <v>69</v>
      </c>
      <c r="AO123" s="2">
        <v>2</v>
      </c>
      <c r="AP123" s="2">
        <v>4.5</v>
      </c>
      <c r="AQ123" s="14">
        <v>120000</v>
      </c>
      <c r="AR123" s="2">
        <v>89</v>
      </c>
      <c r="AS123" s="2">
        <v>2</v>
      </c>
      <c r="AT123" s="2" t="s">
        <v>107</v>
      </c>
      <c r="AU123" s="2">
        <v>0</v>
      </c>
      <c r="AX123" s="2">
        <v>99</v>
      </c>
      <c r="BG123" s="23" t="str">
        <f t="shared" si="46"/>
        <v>Streaks-SRM6</v>
      </c>
      <c r="BH123" s="23">
        <f t="shared" si="47"/>
        <v>2</v>
      </c>
      <c r="BI123" s="23">
        <f t="shared" si="48"/>
        <v>4.5</v>
      </c>
      <c r="BJ123" s="23">
        <f t="shared" si="49"/>
        <v>120000</v>
      </c>
      <c r="BK123" s="23">
        <f t="shared" si="50"/>
        <v>89</v>
      </c>
      <c r="BL123" s="23">
        <f t="shared" si="51"/>
        <v>2</v>
      </c>
      <c r="BM123" s="23" t="str">
        <f t="shared" si="52"/>
        <v>Missile</v>
      </c>
      <c r="BN123" s="23">
        <f t="shared" si="53"/>
        <v>0</v>
      </c>
    </row>
    <row r="124" spans="32:66">
      <c r="AF124" s="2">
        <f t="shared" si="55"/>
        <v>30</v>
      </c>
      <c r="AG124" s="2">
        <f t="shared" si="54"/>
        <v>1.5</v>
      </c>
      <c r="AM124" s="2">
        <f t="shared" si="45"/>
        <v>100</v>
      </c>
      <c r="AN124" s="4" t="s">
        <v>90</v>
      </c>
      <c r="AO124" s="2">
        <v>1</v>
      </c>
      <c r="AP124" s="2">
        <v>1</v>
      </c>
      <c r="AQ124" s="14">
        <v>54000</v>
      </c>
      <c r="AR124" s="2">
        <v>7</v>
      </c>
      <c r="AS124" s="2">
        <v>2</v>
      </c>
      <c r="AT124" s="2" t="s">
        <v>105</v>
      </c>
      <c r="AU124" s="2">
        <v>0</v>
      </c>
      <c r="AX124" s="2">
        <v>100</v>
      </c>
      <c r="BG124" s="23" t="str">
        <f t="shared" si="46"/>
        <v>Streaks-SRM6 (Ammo 15)</v>
      </c>
      <c r="BH124" s="23">
        <f t="shared" si="47"/>
        <v>1</v>
      </c>
      <c r="BI124" s="23">
        <f t="shared" si="48"/>
        <v>1</v>
      </c>
      <c r="BJ124" s="23">
        <f t="shared" si="49"/>
        <v>54000</v>
      </c>
      <c r="BK124" s="23">
        <f t="shared" si="50"/>
        <v>7</v>
      </c>
      <c r="BL124" s="23">
        <f t="shared" si="51"/>
        <v>2</v>
      </c>
      <c r="BM124" s="23" t="str">
        <f t="shared" si="52"/>
        <v>Ammo</v>
      </c>
      <c r="BN124" s="23">
        <f t="shared" si="53"/>
        <v>0</v>
      </c>
    </row>
    <row r="125" spans="32:66">
      <c r="AF125" s="2">
        <f t="shared" si="55"/>
        <v>35</v>
      </c>
      <c r="AG125" s="2">
        <v>2</v>
      </c>
      <c r="AM125" s="2">
        <f t="shared" si="45"/>
        <v>101</v>
      </c>
      <c r="AN125" s="4" t="s">
        <v>210</v>
      </c>
      <c r="AO125" s="2">
        <f>ROUNDUP($H$4/15,0)</f>
        <v>1</v>
      </c>
      <c r="AP125" s="2">
        <f>VLOOKUP($H$4,$AF$120:$AG$138,2)</f>
        <v>1</v>
      </c>
      <c r="AQ125" s="29"/>
      <c r="AR125" s="29"/>
      <c r="AS125" s="29"/>
      <c r="AT125" s="2" t="s">
        <v>212</v>
      </c>
      <c r="AU125" s="2">
        <v>0</v>
      </c>
      <c r="AX125" s="2">
        <v>101</v>
      </c>
      <c r="BG125" s="23" t="str">
        <f t="shared" si="46"/>
        <v>Sword</v>
      </c>
      <c r="BH125" s="23">
        <f t="shared" si="47"/>
        <v>1</v>
      </c>
      <c r="BI125" s="23">
        <f t="shared" si="48"/>
        <v>1</v>
      </c>
      <c r="BJ125" s="23">
        <f t="shared" si="49"/>
        <v>0</v>
      </c>
      <c r="BK125" s="23">
        <f t="shared" si="50"/>
        <v>0</v>
      </c>
      <c r="BL125" s="23">
        <f t="shared" si="51"/>
        <v>0</v>
      </c>
      <c r="BM125" s="23" t="str">
        <f t="shared" si="52"/>
        <v>Melee</v>
      </c>
      <c r="BN125" s="23">
        <f t="shared" si="53"/>
        <v>0</v>
      </c>
    </row>
    <row r="126" spans="32:66">
      <c r="AF126" s="2">
        <f t="shared" si="55"/>
        <v>40</v>
      </c>
      <c r="AG126" s="2">
        <f t="shared" si="54"/>
        <v>2</v>
      </c>
      <c r="AM126" s="2">
        <f t="shared" si="45"/>
        <v>102</v>
      </c>
      <c r="AN126" s="4" t="s">
        <v>211</v>
      </c>
      <c r="AO126" s="2">
        <v>1</v>
      </c>
      <c r="AP126" s="2">
        <v>1</v>
      </c>
      <c r="AQ126" s="33">
        <v>50000</v>
      </c>
      <c r="AR126" s="29"/>
      <c r="AS126" s="29"/>
      <c r="AT126" s="2" t="s">
        <v>138</v>
      </c>
      <c r="AU126" s="2">
        <v>0</v>
      </c>
      <c r="AX126" s="2">
        <v>102</v>
      </c>
      <c r="BG126" s="23" t="str">
        <f t="shared" si="46"/>
        <v>TAG</v>
      </c>
      <c r="BH126" s="23">
        <f t="shared" si="47"/>
        <v>1</v>
      </c>
      <c r="BI126" s="23">
        <f t="shared" si="48"/>
        <v>1</v>
      </c>
      <c r="BJ126" s="23">
        <f t="shared" si="49"/>
        <v>50000</v>
      </c>
      <c r="BK126" s="23">
        <f t="shared" si="50"/>
        <v>0</v>
      </c>
      <c r="BL126" s="23">
        <f t="shared" si="51"/>
        <v>0</v>
      </c>
      <c r="BM126" s="23" t="str">
        <f t="shared" si="52"/>
        <v>Gear</v>
      </c>
      <c r="BN126" s="23">
        <f t="shared" si="53"/>
        <v>0</v>
      </c>
    </row>
    <row r="127" spans="32:66">
      <c r="AF127" s="2">
        <f t="shared" si="55"/>
        <v>45</v>
      </c>
      <c r="AG127" s="2">
        <v>2.5</v>
      </c>
      <c r="AM127" s="2">
        <f t="shared" si="45"/>
        <v>103</v>
      </c>
      <c r="AN127" s="4" t="s">
        <v>180</v>
      </c>
      <c r="AO127" s="2">
        <f>ROUNDUP(SUM($P$39:$P$79)/4,0)</f>
        <v>0</v>
      </c>
      <c r="AP127" s="2">
        <f>ROUNDUP(SUM($P$39:$P$79)/4,0)</f>
        <v>0</v>
      </c>
      <c r="AQ127" s="14">
        <f>10000*AP127</f>
        <v>0</v>
      </c>
      <c r="AR127" s="2">
        <f>SUM($Q$30:$Q$70)*0.2</f>
        <v>0</v>
      </c>
      <c r="AS127" s="2">
        <v>2</v>
      </c>
      <c r="AT127" s="2" t="s">
        <v>138</v>
      </c>
      <c r="AU127" s="2">
        <v>0</v>
      </c>
      <c r="AX127" s="2">
        <v>103</v>
      </c>
      <c r="BG127" s="23" t="str">
        <f t="shared" si="46"/>
        <v>Targeting Computer</v>
      </c>
      <c r="BH127" s="23">
        <f t="shared" si="47"/>
        <v>0</v>
      </c>
      <c r="BI127" s="23">
        <f t="shared" si="48"/>
        <v>0</v>
      </c>
      <c r="BJ127" s="23">
        <f t="shared" si="49"/>
        <v>0</v>
      </c>
      <c r="BK127" s="23">
        <f t="shared" si="50"/>
        <v>0</v>
      </c>
      <c r="BL127" s="23">
        <f t="shared" si="51"/>
        <v>2</v>
      </c>
      <c r="BM127" s="23" t="str">
        <f t="shared" si="52"/>
        <v>Gear</v>
      </c>
      <c r="BN127" s="23">
        <f t="shared" si="53"/>
        <v>0</v>
      </c>
    </row>
    <row r="128" spans="32:66">
      <c r="AF128" s="2">
        <f t="shared" si="55"/>
        <v>50</v>
      </c>
      <c r="AG128" s="2">
        <f t="shared" si="54"/>
        <v>2.5</v>
      </c>
      <c r="AM128" s="2">
        <f t="shared" si="45"/>
        <v>104</v>
      </c>
      <c r="AN128" s="4" t="s">
        <v>174</v>
      </c>
      <c r="AO128" s="2">
        <v>1</v>
      </c>
      <c r="AP128" s="2">
        <v>1</v>
      </c>
      <c r="AQ128" s="14">
        <v>1000</v>
      </c>
      <c r="AR128" s="2">
        <v>14</v>
      </c>
      <c r="AS128" s="2">
        <v>2</v>
      </c>
      <c r="AT128" s="2" t="s">
        <v>105</v>
      </c>
      <c r="AU128" s="2">
        <v>0</v>
      </c>
      <c r="AX128" s="2">
        <v>104</v>
      </c>
      <c r="BG128" s="23" t="str">
        <f t="shared" si="46"/>
        <v>Ultra AC- 2 (Ammo 45)</v>
      </c>
      <c r="BH128" s="23">
        <f t="shared" si="47"/>
        <v>1</v>
      </c>
      <c r="BI128" s="23">
        <f t="shared" si="48"/>
        <v>1</v>
      </c>
      <c r="BJ128" s="23">
        <f t="shared" si="49"/>
        <v>1000</v>
      </c>
      <c r="BK128" s="23">
        <f t="shared" si="50"/>
        <v>14</v>
      </c>
      <c r="BL128" s="23">
        <f t="shared" si="51"/>
        <v>2</v>
      </c>
      <c r="BM128" s="23" t="str">
        <f t="shared" si="52"/>
        <v>Ammo</v>
      </c>
      <c r="BN128" s="23">
        <f t="shared" si="53"/>
        <v>0</v>
      </c>
    </row>
    <row r="129" spans="32:66">
      <c r="AF129" s="2">
        <f t="shared" si="55"/>
        <v>55</v>
      </c>
      <c r="AG129" s="2">
        <v>3</v>
      </c>
      <c r="AM129" s="2">
        <f t="shared" si="45"/>
        <v>105</v>
      </c>
      <c r="AN129" s="4" t="s">
        <v>200</v>
      </c>
      <c r="AO129" s="2">
        <v>3</v>
      </c>
      <c r="AP129" s="2">
        <v>7</v>
      </c>
      <c r="AQ129" s="14">
        <v>120000</v>
      </c>
      <c r="AR129" s="2">
        <v>56</v>
      </c>
      <c r="AS129" s="2">
        <v>2</v>
      </c>
      <c r="AT129" s="2" t="s">
        <v>123</v>
      </c>
      <c r="AU129" s="2">
        <f>+AP129</f>
        <v>7</v>
      </c>
      <c r="AX129" s="2">
        <v>105</v>
      </c>
      <c r="BG129" s="23" t="str">
        <f t="shared" si="46"/>
        <v>Ultra AC- 2 Auto-Cannon</v>
      </c>
      <c r="BH129" s="23">
        <f t="shared" si="47"/>
        <v>3</v>
      </c>
      <c r="BI129" s="23">
        <f t="shared" si="48"/>
        <v>7</v>
      </c>
      <c r="BJ129" s="23">
        <f t="shared" si="49"/>
        <v>120000</v>
      </c>
      <c r="BK129" s="23">
        <f t="shared" si="50"/>
        <v>56</v>
      </c>
      <c r="BL129" s="23">
        <f t="shared" si="51"/>
        <v>2</v>
      </c>
      <c r="BM129" s="23" t="str">
        <f t="shared" si="52"/>
        <v>Autou0</v>
      </c>
      <c r="BN129" s="23">
        <f t="shared" si="53"/>
        <v>7</v>
      </c>
    </row>
    <row r="130" spans="32:66">
      <c r="AF130" s="2">
        <f t="shared" si="55"/>
        <v>60</v>
      </c>
      <c r="AG130" s="2">
        <f t="shared" si="54"/>
        <v>3</v>
      </c>
      <c r="AM130" s="2">
        <f t="shared" si="45"/>
        <v>106</v>
      </c>
      <c r="AN130" s="4" t="s">
        <v>175</v>
      </c>
      <c r="AO130" s="2">
        <v>1</v>
      </c>
      <c r="AP130" s="2">
        <v>1</v>
      </c>
      <c r="AQ130" s="14">
        <v>9000</v>
      </c>
      <c r="AR130" s="2">
        <v>28</v>
      </c>
      <c r="AS130" s="2">
        <v>2</v>
      </c>
      <c r="AT130" s="2" t="s">
        <v>105</v>
      </c>
      <c r="AU130" s="2">
        <v>0</v>
      </c>
      <c r="AX130" s="2">
        <v>106</v>
      </c>
      <c r="BG130" s="23" t="str">
        <f t="shared" si="46"/>
        <v>Ultra AC- 5 (Ammo 20)</v>
      </c>
      <c r="BH130" s="23">
        <f t="shared" si="47"/>
        <v>1</v>
      </c>
      <c r="BI130" s="23">
        <f t="shared" si="48"/>
        <v>1</v>
      </c>
      <c r="BJ130" s="23">
        <f t="shared" si="49"/>
        <v>9000</v>
      </c>
      <c r="BK130" s="23">
        <f t="shared" si="50"/>
        <v>28</v>
      </c>
      <c r="BL130" s="23">
        <f t="shared" si="51"/>
        <v>2</v>
      </c>
      <c r="BM130" s="23" t="str">
        <f t="shared" si="52"/>
        <v>Ammo</v>
      </c>
      <c r="BN130" s="23">
        <f t="shared" si="53"/>
        <v>0</v>
      </c>
    </row>
    <row r="131" spans="32:66">
      <c r="AF131" s="2">
        <f t="shared" si="55"/>
        <v>65</v>
      </c>
      <c r="AG131" s="2">
        <v>3.5</v>
      </c>
      <c r="AM131" s="2">
        <f t="shared" si="45"/>
        <v>107</v>
      </c>
      <c r="AN131" s="4" t="s">
        <v>201</v>
      </c>
      <c r="AO131" s="2">
        <v>5</v>
      </c>
      <c r="AP131" s="2">
        <v>9</v>
      </c>
      <c r="AQ131" s="14">
        <v>200000</v>
      </c>
      <c r="AR131" s="2">
        <v>113</v>
      </c>
      <c r="AS131" s="2">
        <v>2</v>
      </c>
      <c r="AT131" s="2" t="s">
        <v>125</v>
      </c>
      <c r="AU131" s="2">
        <f>+AP131</f>
        <v>9</v>
      </c>
      <c r="BG131" s="23" t="str">
        <f t="shared" si="46"/>
        <v>Ultra AC- 5 Auto-Cannon</v>
      </c>
      <c r="BH131" s="23">
        <f t="shared" si="47"/>
        <v>5</v>
      </c>
      <c r="BI131" s="23">
        <f t="shared" si="48"/>
        <v>9</v>
      </c>
      <c r="BJ131" s="23">
        <f t="shared" si="49"/>
        <v>200000</v>
      </c>
      <c r="BK131" s="23">
        <f t="shared" si="50"/>
        <v>113</v>
      </c>
      <c r="BL131" s="23">
        <f t="shared" si="51"/>
        <v>2</v>
      </c>
      <c r="BM131" s="23" t="str">
        <f t="shared" si="52"/>
        <v>Autou1</v>
      </c>
      <c r="BN131" s="23">
        <f t="shared" si="53"/>
        <v>9</v>
      </c>
    </row>
    <row r="132" spans="32:66">
      <c r="AF132" s="2">
        <f t="shared" si="55"/>
        <v>70</v>
      </c>
      <c r="AG132" s="2">
        <f t="shared" si="54"/>
        <v>3.5</v>
      </c>
      <c r="AM132" s="2">
        <f t="shared" si="45"/>
        <v>108</v>
      </c>
      <c r="AN132" s="4" t="s">
        <v>99</v>
      </c>
      <c r="AO132" s="2">
        <v>1</v>
      </c>
      <c r="AP132" s="2">
        <v>1</v>
      </c>
      <c r="AQ132" s="14">
        <v>12000</v>
      </c>
      <c r="AR132" s="2">
        <v>7</v>
      </c>
      <c r="AS132" s="2">
        <v>2</v>
      </c>
      <c r="AT132" s="2" t="s">
        <v>105</v>
      </c>
      <c r="AU132" s="2">
        <v>0</v>
      </c>
      <c r="BG132" s="23" t="str">
        <f t="shared" si="46"/>
        <v>Ultra AC-10 (Ammo 10)</v>
      </c>
      <c r="BH132" s="23">
        <f t="shared" si="47"/>
        <v>1</v>
      </c>
      <c r="BI132" s="23">
        <f t="shared" si="48"/>
        <v>1</v>
      </c>
      <c r="BJ132" s="23">
        <f t="shared" si="49"/>
        <v>12000</v>
      </c>
      <c r="BK132" s="23">
        <f t="shared" si="50"/>
        <v>7</v>
      </c>
      <c r="BL132" s="23">
        <f t="shared" si="51"/>
        <v>2</v>
      </c>
      <c r="BM132" s="23" t="str">
        <f t="shared" si="52"/>
        <v>Ammo</v>
      </c>
      <c r="BN132" s="23">
        <f t="shared" si="53"/>
        <v>0</v>
      </c>
    </row>
    <row r="133" spans="32:66">
      <c r="AF133" s="2">
        <f t="shared" si="55"/>
        <v>75</v>
      </c>
      <c r="AG133" s="2">
        <v>4</v>
      </c>
      <c r="AM133" s="2">
        <f t="shared" si="45"/>
        <v>109</v>
      </c>
      <c r="AN133" s="4" t="s">
        <v>196</v>
      </c>
      <c r="AO133" s="2">
        <v>7</v>
      </c>
      <c r="AP133" s="2">
        <v>13</v>
      </c>
      <c r="AQ133" s="14">
        <v>320000</v>
      </c>
      <c r="AR133" s="2">
        <v>253</v>
      </c>
      <c r="AS133" s="2">
        <v>2</v>
      </c>
      <c r="AT133" s="2" t="s">
        <v>127</v>
      </c>
      <c r="AU133" s="2">
        <f>+AP133</f>
        <v>13</v>
      </c>
      <c r="BG133" s="23" t="str">
        <f t="shared" si="46"/>
        <v>Ultra AC-10 Auto-Cannon</v>
      </c>
      <c r="BH133" s="23">
        <f t="shared" si="47"/>
        <v>7</v>
      </c>
      <c r="BI133" s="23">
        <f t="shared" si="48"/>
        <v>13</v>
      </c>
      <c r="BJ133" s="23">
        <f t="shared" si="49"/>
        <v>320000</v>
      </c>
      <c r="BK133" s="23">
        <f t="shared" si="50"/>
        <v>253</v>
      </c>
      <c r="BL133" s="23">
        <f t="shared" si="51"/>
        <v>2</v>
      </c>
      <c r="BM133" s="23" t="str">
        <f t="shared" si="52"/>
        <v>Autou2</v>
      </c>
      <c r="BN133" s="23">
        <f t="shared" si="53"/>
        <v>13</v>
      </c>
    </row>
    <row r="134" spans="32:66">
      <c r="AF134" s="2">
        <f t="shared" si="55"/>
        <v>80</v>
      </c>
      <c r="AG134" s="2">
        <f t="shared" si="54"/>
        <v>4</v>
      </c>
      <c r="AM134" s="2">
        <f t="shared" si="45"/>
        <v>110</v>
      </c>
      <c r="AN134" s="4" t="s">
        <v>100</v>
      </c>
      <c r="AO134" s="2">
        <v>1</v>
      </c>
      <c r="AP134" s="2">
        <v>1</v>
      </c>
      <c r="AQ134" s="14">
        <v>20000</v>
      </c>
      <c r="AR134" s="2">
        <v>21</v>
      </c>
      <c r="AS134" s="2">
        <v>2</v>
      </c>
      <c r="AT134" s="2" t="s">
        <v>105</v>
      </c>
      <c r="AU134" s="2">
        <v>0</v>
      </c>
      <c r="BG134" s="23" t="str">
        <f t="shared" si="46"/>
        <v>Ultra AC-20 (Ammo 5)</v>
      </c>
      <c r="BH134" s="23">
        <f t="shared" si="47"/>
        <v>1</v>
      </c>
      <c r="BI134" s="23">
        <f t="shared" si="48"/>
        <v>1</v>
      </c>
      <c r="BJ134" s="23">
        <f t="shared" si="49"/>
        <v>20000</v>
      </c>
      <c r="BK134" s="23">
        <f t="shared" si="50"/>
        <v>21</v>
      </c>
      <c r="BL134" s="23">
        <f t="shared" si="51"/>
        <v>2</v>
      </c>
      <c r="BM134" s="23" t="str">
        <f t="shared" si="52"/>
        <v>Ammo</v>
      </c>
      <c r="BN134" s="23">
        <f t="shared" si="53"/>
        <v>0</v>
      </c>
    </row>
    <row r="135" spans="32:66">
      <c r="AF135" s="2">
        <f t="shared" si="55"/>
        <v>85</v>
      </c>
      <c r="AG135" s="2">
        <v>4.5</v>
      </c>
      <c r="AM135" s="2">
        <f t="shared" si="45"/>
        <v>111</v>
      </c>
      <c r="AN135" s="4" t="s">
        <v>197</v>
      </c>
      <c r="AO135" s="2">
        <v>10</v>
      </c>
      <c r="AP135" s="2">
        <v>15</v>
      </c>
      <c r="AQ135" s="14">
        <v>480000</v>
      </c>
      <c r="AR135" s="2">
        <v>282</v>
      </c>
      <c r="AS135" s="2">
        <v>2</v>
      </c>
      <c r="AT135" s="2" t="s">
        <v>129</v>
      </c>
      <c r="AU135" s="2">
        <f t="shared" ref="AU135:AU140" si="56">+AP135</f>
        <v>15</v>
      </c>
      <c r="BG135" s="23" t="str">
        <f t="shared" si="46"/>
        <v>Ultra AC-20 Auto-Cannon</v>
      </c>
      <c r="BH135" s="23">
        <f t="shared" si="47"/>
        <v>10</v>
      </c>
      <c r="BI135" s="23">
        <f t="shared" si="48"/>
        <v>15</v>
      </c>
      <c r="BJ135" s="23">
        <f t="shared" si="49"/>
        <v>480000</v>
      </c>
      <c r="BK135" s="23">
        <f t="shared" si="50"/>
        <v>282</v>
      </c>
      <c r="BL135" s="23">
        <f t="shared" si="51"/>
        <v>2</v>
      </c>
      <c r="BM135" s="23" t="str">
        <f t="shared" si="52"/>
        <v>Autou3</v>
      </c>
      <c r="BN135" s="23">
        <f t="shared" si="53"/>
        <v>15</v>
      </c>
    </row>
    <row r="136" spans="32:66">
      <c r="AF136" s="2">
        <f t="shared" si="55"/>
        <v>90</v>
      </c>
      <c r="AG136" s="2">
        <f t="shared" si="54"/>
        <v>4.5</v>
      </c>
      <c r="AM136" s="2">
        <f t="shared" si="45"/>
        <v>112</v>
      </c>
      <c r="AN136" s="4" t="s">
        <v>134</v>
      </c>
      <c r="AO136" s="2">
        <v>2</v>
      </c>
      <c r="AP136" s="2">
        <v>7</v>
      </c>
      <c r="AQ136" s="14">
        <v>275000</v>
      </c>
      <c r="AR136" s="21">
        <v>178</v>
      </c>
      <c r="AS136" s="2">
        <v>3</v>
      </c>
      <c r="AT136" s="2" t="s">
        <v>106</v>
      </c>
      <c r="AU136" s="2">
        <f t="shared" si="56"/>
        <v>7</v>
      </c>
      <c r="BG136" s="23" t="str">
        <f t="shared" si="46"/>
        <v>X-Large Pulse</v>
      </c>
      <c r="BH136" s="23">
        <f t="shared" si="47"/>
        <v>2</v>
      </c>
      <c r="BI136" s="23">
        <f t="shared" si="48"/>
        <v>7</v>
      </c>
      <c r="BJ136" s="23">
        <f t="shared" si="49"/>
        <v>275000</v>
      </c>
      <c r="BK136" s="23">
        <f t="shared" si="50"/>
        <v>178</v>
      </c>
      <c r="BL136" s="23">
        <f t="shared" si="51"/>
        <v>3</v>
      </c>
      <c r="BM136" s="23" t="str">
        <f t="shared" si="52"/>
        <v>Laser</v>
      </c>
      <c r="BN136" s="23">
        <f t="shared" si="53"/>
        <v>7</v>
      </c>
    </row>
    <row r="137" spans="32:66">
      <c r="AF137" s="2">
        <f t="shared" si="55"/>
        <v>95</v>
      </c>
      <c r="AG137" s="2">
        <v>5</v>
      </c>
      <c r="AM137" s="2">
        <f t="shared" si="45"/>
        <v>113</v>
      </c>
      <c r="AN137" s="4" t="s">
        <v>135</v>
      </c>
      <c r="AO137" s="2">
        <v>1</v>
      </c>
      <c r="AP137" s="2">
        <v>2</v>
      </c>
      <c r="AQ137" s="14">
        <v>110000</v>
      </c>
      <c r="AR137" s="21">
        <v>71</v>
      </c>
      <c r="AS137" s="2">
        <v>3</v>
      </c>
      <c r="AT137" s="2" t="s">
        <v>106</v>
      </c>
      <c r="AU137" s="2">
        <f t="shared" si="56"/>
        <v>2</v>
      </c>
      <c r="BG137" s="23" t="str">
        <f t="shared" si="46"/>
        <v>X-Medium Pulse</v>
      </c>
      <c r="BH137" s="23">
        <f t="shared" si="47"/>
        <v>1</v>
      </c>
      <c r="BI137" s="23">
        <f t="shared" si="48"/>
        <v>2</v>
      </c>
      <c r="BJ137" s="23">
        <f t="shared" si="49"/>
        <v>110000</v>
      </c>
      <c r="BK137" s="23">
        <f t="shared" si="50"/>
        <v>71</v>
      </c>
      <c r="BL137" s="23">
        <f t="shared" si="51"/>
        <v>3</v>
      </c>
      <c r="BM137" s="23" t="str">
        <f t="shared" si="52"/>
        <v>Laser</v>
      </c>
      <c r="BN137" s="23">
        <f t="shared" si="53"/>
        <v>2</v>
      </c>
    </row>
    <row r="138" spans="32:66">
      <c r="AF138" s="2">
        <f t="shared" si="55"/>
        <v>100</v>
      </c>
      <c r="AG138" s="2">
        <f t="shared" si="54"/>
        <v>5</v>
      </c>
      <c r="AM138" s="2">
        <f t="shared" si="45"/>
        <v>114</v>
      </c>
      <c r="AN138" s="4" t="s">
        <v>136</v>
      </c>
      <c r="AO138" s="2">
        <v>1</v>
      </c>
      <c r="AP138" s="2">
        <v>1</v>
      </c>
      <c r="AQ138" s="14">
        <v>31000</v>
      </c>
      <c r="AR138" s="21">
        <v>21</v>
      </c>
      <c r="AS138" s="2">
        <v>3</v>
      </c>
      <c r="AT138" s="2" t="s">
        <v>106</v>
      </c>
      <c r="AU138" s="2">
        <f t="shared" si="56"/>
        <v>1</v>
      </c>
      <c r="BG138" s="23" t="str">
        <f t="shared" si="46"/>
        <v>X-Small Pulse</v>
      </c>
      <c r="BH138" s="23">
        <f t="shared" si="47"/>
        <v>1</v>
      </c>
      <c r="BI138" s="23">
        <f t="shared" si="48"/>
        <v>1</v>
      </c>
      <c r="BJ138" s="23">
        <f t="shared" si="49"/>
        <v>31000</v>
      </c>
      <c r="BK138" s="23">
        <f t="shared" si="50"/>
        <v>21</v>
      </c>
      <c r="BL138" s="23">
        <f t="shared" si="51"/>
        <v>3</v>
      </c>
      <c r="BM138" s="23" t="str">
        <f t="shared" si="52"/>
        <v>Laser</v>
      </c>
      <c r="BN138" s="23">
        <f t="shared" si="53"/>
        <v>1</v>
      </c>
    </row>
    <row r="139" spans="32:66">
      <c r="AM139" s="2">
        <f t="shared" si="45"/>
        <v>115</v>
      </c>
      <c r="AN139" s="4" t="s">
        <v>242</v>
      </c>
      <c r="AO139" s="2">
        <v>2</v>
      </c>
      <c r="AP139" s="2">
        <v>3</v>
      </c>
      <c r="AS139" s="2">
        <v>2</v>
      </c>
      <c r="AT139" s="2" t="s">
        <v>107</v>
      </c>
      <c r="AU139" s="2">
        <f t="shared" si="56"/>
        <v>3</v>
      </c>
      <c r="BG139" s="23" t="str">
        <f t="shared" ref="BG139:BG151" si="57">IF($F$1="IS",AN139,IF($F$1="Clan",AY139,"Try agian"))</f>
        <v>Narc Missile Beacon</v>
      </c>
      <c r="BH139" s="23">
        <f t="shared" ref="BH139:BH151" si="58">IF($F$1="IS",AO139,IF($F$1="Clan",AZ139,"Try agian"))</f>
        <v>2</v>
      </c>
      <c r="BI139" s="23">
        <f t="shared" ref="BI139:BI151" si="59">IF($F$1="IS",AP139,IF($F$1="Clan",BA139,"Try agian"))</f>
        <v>3</v>
      </c>
      <c r="BJ139" s="23">
        <f t="shared" ref="BJ139:BJ151" si="60">IF($F$1="IS",AQ139,IF($F$1="Clan",BB139,"Try agian"))</f>
        <v>0</v>
      </c>
      <c r="BK139" s="23">
        <f t="shared" ref="BK139:BK151" si="61">IF($F$1="IS",AR139,IF($F$1="Clan",BC139,"Try agian"))</f>
        <v>0</v>
      </c>
      <c r="BL139" s="23">
        <f t="shared" ref="BL139:BL151" si="62">IF($F$1="IS",AS139,IF($F$1="Clan",BD139,"Try agian"))</f>
        <v>2</v>
      </c>
      <c r="BM139" s="23" t="str">
        <f t="shared" ref="BM139:BM151" si="63">IF($F$1="IS",AT139,IF($F$1="Clan",BE139,"Try agian"))</f>
        <v>Missile</v>
      </c>
      <c r="BN139" s="23">
        <f t="shared" ref="BN139:BN151" si="64">IF($F$1="IS",AU139,IF($F$1="Clan",BF139,"Try agian"))</f>
        <v>3</v>
      </c>
    </row>
    <row r="140" spans="32:66">
      <c r="AM140" s="2">
        <f t="shared" si="45"/>
        <v>116</v>
      </c>
      <c r="AN140" s="4" t="s">
        <v>243</v>
      </c>
      <c r="AO140" s="2">
        <v>1</v>
      </c>
      <c r="AP140" s="2">
        <v>1</v>
      </c>
      <c r="AS140" s="2">
        <v>2</v>
      </c>
      <c r="AT140" s="2" t="s">
        <v>105</v>
      </c>
      <c r="AU140" s="2">
        <f t="shared" si="56"/>
        <v>1</v>
      </c>
      <c r="BG140" s="23" t="str">
        <f t="shared" si="57"/>
        <v>Narc Missile Beacon Ammo (12)</v>
      </c>
      <c r="BH140" s="23">
        <f t="shared" si="58"/>
        <v>1</v>
      </c>
      <c r="BI140" s="23">
        <f t="shared" si="59"/>
        <v>1</v>
      </c>
      <c r="BJ140" s="23">
        <f t="shared" si="60"/>
        <v>0</v>
      </c>
      <c r="BK140" s="23">
        <f t="shared" si="61"/>
        <v>0</v>
      </c>
      <c r="BL140" s="23">
        <f t="shared" si="62"/>
        <v>2</v>
      </c>
      <c r="BM140" s="23" t="str">
        <f t="shared" si="63"/>
        <v>Ammo</v>
      </c>
      <c r="BN140" s="23">
        <f t="shared" si="64"/>
        <v>1</v>
      </c>
    </row>
    <row r="141" spans="32:66">
      <c r="AM141" s="2">
        <f t="shared" si="45"/>
        <v>117</v>
      </c>
      <c r="BG141" s="23">
        <f t="shared" si="57"/>
        <v>0</v>
      </c>
      <c r="BH141" s="23">
        <f t="shared" si="58"/>
        <v>0</v>
      </c>
      <c r="BI141" s="23">
        <f t="shared" si="59"/>
        <v>0</v>
      </c>
      <c r="BJ141" s="23">
        <f t="shared" si="60"/>
        <v>0</v>
      </c>
      <c r="BK141" s="23">
        <f t="shared" si="61"/>
        <v>0</v>
      </c>
      <c r="BL141" s="23">
        <f t="shared" si="62"/>
        <v>0</v>
      </c>
      <c r="BM141" s="23">
        <f t="shared" si="63"/>
        <v>0</v>
      </c>
      <c r="BN141" s="23">
        <f t="shared" si="64"/>
        <v>0</v>
      </c>
    </row>
    <row r="142" spans="32:66">
      <c r="AM142" s="2">
        <f t="shared" si="45"/>
        <v>118</v>
      </c>
      <c r="BG142" s="23">
        <f t="shared" si="57"/>
        <v>0</v>
      </c>
      <c r="BH142" s="23">
        <f t="shared" si="58"/>
        <v>0</v>
      </c>
      <c r="BI142" s="23">
        <f t="shared" si="59"/>
        <v>0</v>
      </c>
      <c r="BJ142" s="23">
        <f t="shared" si="60"/>
        <v>0</v>
      </c>
      <c r="BK142" s="23">
        <f t="shared" si="61"/>
        <v>0</v>
      </c>
      <c r="BL142" s="23">
        <f t="shared" si="62"/>
        <v>0</v>
      </c>
      <c r="BM142" s="23">
        <f t="shared" si="63"/>
        <v>0</v>
      </c>
      <c r="BN142" s="23">
        <f t="shared" si="64"/>
        <v>0</v>
      </c>
    </row>
    <row r="143" spans="32:66">
      <c r="AM143" s="2">
        <f t="shared" si="45"/>
        <v>119</v>
      </c>
      <c r="BG143" s="23">
        <f t="shared" si="57"/>
        <v>0</v>
      </c>
      <c r="BH143" s="23">
        <f t="shared" si="58"/>
        <v>0</v>
      </c>
      <c r="BI143" s="23">
        <f t="shared" si="59"/>
        <v>0</v>
      </c>
      <c r="BJ143" s="23">
        <f t="shared" si="60"/>
        <v>0</v>
      </c>
      <c r="BK143" s="23">
        <f t="shared" si="61"/>
        <v>0</v>
      </c>
      <c r="BL143" s="23">
        <f t="shared" si="62"/>
        <v>0</v>
      </c>
      <c r="BM143" s="23">
        <f t="shared" si="63"/>
        <v>0</v>
      </c>
      <c r="BN143" s="23">
        <f t="shared" si="64"/>
        <v>0</v>
      </c>
    </row>
    <row r="144" spans="32:66">
      <c r="AM144" s="2">
        <f t="shared" si="45"/>
        <v>120</v>
      </c>
      <c r="BG144" s="23">
        <f t="shared" si="57"/>
        <v>0</v>
      </c>
      <c r="BH144" s="23">
        <f t="shared" si="58"/>
        <v>0</v>
      </c>
      <c r="BI144" s="23">
        <f t="shared" si="59"/>
        <v>0</v>
      </c>
      <c r="BJ144" s="23">
        <f t="shared" si="60"/>
        <v>0</v>
      </c>
      <c r="BK144" s="23">
        <f t="shared" si="61"/>
        <v>0</v>
      </c>
      <c r="BL144" s="23">
        <f t="shared" si="62"/>
        <v>0</v>
      </c>
      <c r="BM144" s="23">
        <f t="shared" si="63"/>
        <v>0</v>
      </c>
      <c r="BN144" s="23">
        <f t="shared" si="64"/>
        <v>0</v>
      </c>
    </row>
    <row r="145" spans="39:66">
      <c r="AM145" s="2">
        <f t="shared" si="45"/>
        <v>121</v>
      </c>
      <c r="BG145" s="23">
        <f t="shared" si="57"/>
        <v>0</v>
      </c>
      <c r="BH145" s="23">
        <f t="shared" si="58"/>
        <v>0</v>
      </c>
      <c r="BI145" s="23">
        <f t="shared" si="59"/>
        <v>0</v>
      </c>
      <c r="BJ145" s="23">
        <f t="shared" si="60"/>
        <v>0</v>
      </c>
      <c r="BK145" s="23">
        <f t="shared" si="61"/>
        <v>0</v>
      </c>
      <c r="BL145" s="23">
        <f t="shared" si="62"/>
        <v>0</v>
      </c>
      <c r="BM145" s="23">
        <f t="shared" si="63"/>
        <v>0</v>
      </c>
      <c r="BN145" s="23">
        <f t="shared" si="64"/>
        <v>0</v>
      </c>
    </row>
    <row r="146" spans="39:66">
      <c r="AM146" s="2">
        <f t="shared" si="45"/>
        <v>122</v>
      </c>
      <c r="BG146" s="23">
        <f t="shared" si="57"/>
        <v>0</v>
      </c>
      <c r="BH146" s="23">
        <f t="shared" si="58"/>
        <v>0</v>
      </c>
      <c r="BI146" s="23">
        <f t="shared" si="59"/>
        <v>0</v>
      </c>
      <c r="BJ146" s="23">
        <f t="shared" si="60"/>
        <v>0</v>
      </c>
      <c r="BK146" s="23">
        <f t="shared" si="61"/>
        <v>0</v>
      </c>
      <c r="BL146" s="23">
        <f t="shared" si="62"/>
        <v>0</v>
      </c>
      <c r="BM146" s="23">
        <f t="shared" si="63"/>
        <v>0</v>
      </c>
      <c r="BN146" s="23">
        <f t="shared" si="64"/>
        <v>0</v>
      </c>
    </row>
    <row r="147" spans="39:66">
      <c r="AM147" s="2">
        <f t="shared" si="45"/>
        <v>123</v>
      </c>
      <c r="BG147" s="23">
        <f t="shared" si="57"/>
        <v>0</v>
      </c>
      <c r="BH147" s="23">
        <f t="shared" si="58"/>
        <v>0</v>
      </c>
      <c r="BI147" s="23">
        <f t="shared" si="59"/>
        <v>0</v>
      </c>
      <c r="BJ147" s="23">
        <f t="shared" si="60"/>
        <v>0</v>
      </c>
      <c r="BK147" s="23">
        <f t="shared" si="61"/>
        <v>0</v>
      </c>
      <c r="BL147" s="23">
        <f t="shared" si="62"/>
        <v>0</v>
      </c>
      <c r="BM147" s="23">
        <f t="shared" si="63"/>
        <v>0</v>
      </c>
      <c r="BN147" s="23">
        <f t="shared" si="64"/>
        <v>0</v>
      </c>
    </row>
    <row r="148" spans="39:66">
      <c r="AM148" s="2">
        <f t="shared" si="45"/>
        <v>124</v>
      </c>
      <c r="BG148" s="23">
        <f t="shared" si="57"/>
        <v>0</v>
      </c>
      <c r="BH148" s="23">
        <f t="shared" si="58"/>
        <v>0</v>
      </c>
      <c r="BI148" s="23">
        <f t="shared" si="59"/>
        <v>0</v>
      </c>
      <c r="BJ148" s="23">
        <f t="shared" si="60"/>
        <v>0</v>
      </c>
      <c r="BK148" s="23">
        <f t="shared" si="61"/>
        <v>0</v>
      </c>
      <c r="BL148" s="23">
        <f t="shared" si="62"/>
        <v>0</v>
      </c>
      <c r="BM148" s="23">
        <f t="shared" si="63"/>
        <v>0</v>
      </c>
      <c r="BN148" s="23">
        <f t="shared" si="64"/>
        <v>0</v>
      </c>
    </row>
    <row r="149" spans="39:66">
      <c r="AM149" s="2">
        <f t="shared" si="45"/>
        <v>125</v>
      </c>
      <c r="BG149" s="23">
        <f t="shared" si="57"/>
        <v>0</v>
      </c>
      <c r="BH149" s="23">
        <f t="shared" si="58"/>
        <v>0</v>
      </c>
      <c r="BI149" s="23">
        <f t="shared" si="59"/>
        <v>0</v>
      </c>
      <c r="BJ149" s="23">
        <f t="shared" si="60"/>
        <v>0</v>
      </c>
      <c r="BK149" s="23">
        <f t="shared" si="61"/>
        <v>0</v>
      </c>
      <c r="BL149" s="23">
        <f t="shared" si="62"/>
        <v>0</v>
      </c>
      <c r="BM149" s="23">
        <f t="shared" si="63"/>
        <v>0</v>
      </c>
      <c r="BN149" s="23">
        <f t="shared" si="64"/>
        <v>0</v>
      </c>
    </row>
    <row r="150" spans="39:66">
      <c r="AM150" s="2">
        <f t="shared" si="45"/>
        <v>126</v>
      </c>
      <c r="BG150" s="23">
        <f t="shared" si="57"/>
        <v>0</v>
      </c>
      <c r="BH150" s="23">
        <f t="shared" si="58"/>
        <v>0</v>
      </c>
      <c r="BI150" s="23">
        <f t="shared" si="59"/>
        <v>0</v>
      </c>
      <c r="BJ150" s="23">
        <f t="shared" si="60"/>
        <v>0</v>
      </c>
      <c r="BK150" s="23">
        <f t="shared" si="61"/>
        <v>0</v>
      </c>
      <c r="BL150" s="23">
        <f t="shared" si="62"/>
        <v>0</v>
      </c>
      <c r="BM150" s="23">
        <f t="shared" si="63"/>
        <v>0</v>
      </c>
      <c r="BN150" s="23">
        <f t="shared" si="64"/>
        <v>0</v>
      </c>
    </row>
    <row r="151" spans="39:66">
      <c r="AM151" s="2">
        <f t="shared" si="45"/>
        <v>127</v>
      </c>
      <c r="BG151" s="23">
        <f t="shared" si="57"/>
        <v>0</v>
      </c>
      <c r="BH151" s="23">
        <f t="shared" si="58"/>
        <v>0</v>
      </c>
      <c r="BI151" s="23">
        <f t="shared" si="59"/>
        <v>0</v>
      </c>
      <c r="BJ151" s="23">
        <f t="shared" si="60"/>
        <v>0</v>
      </c>
      <c r="BK151" s="23">
        <f t="shared" si="61"/>
        <v>0</v>
      </c>
      <c r="BL151" s="23">
        <f t="shared" si="62"/>
        <v>0</v>
      </c>
      <c r="BM151" s="23">
        <f t="shared" si="63"/>
        <v>0</v>
      </c>
      <c r="BN151" s="23">
        <f t="shared" si="64"/>
        <v>0</v>
      </c>
    </row>
    <row r="152" spans="39:66">
      <c r="AM152" s="2">
        <f t="shared" si="45"/>
        <v>128</v>
      </c>
    </row>
    <row r="153" spans="39:66">
      <c r="AM153" s="2">
        <f t="shared" si="45"/>
        <v>129</v>
      </c>
    </row>
    <row r="154" spans="39:66">
      <c r="AM154" s="2">
        <f t="shared" si="45"/>
        <v>130</v>
      </c>
    </row>
    <row r="155" spans="39:66">
      <c r="AM155" s="2">
        <f>+AM154+1</f>
        <v>131</v>
      </c>
    </row>
    <row r="156" spans="39:66">
      <c r="AM156" s="2">
        <f>+AM155+1</f>
        <v>132</v>
      </c>
    </row>
  </sheetData>
  <sortState ref="AY26:BF59">
    <sortCondition ref="AY25"/>
  </sortState>
  <mergeCells count="2">
    <mergeCell ref="F12:G12"/>
    <mergeCell ref="R38:S38"/>
  </mergeCells>
  <phoneticPr fontId="0" type="noConversion"/>
  <dataValidations count="15">
    <dataValidation type="list" allowBlank="1" showInputMessage="1" showErrorMessage="1" sqref="F3">
      <formula1>$AX$2:$AX$4</formula1>
    </dataValidation>
    <dataValidation type="list" allowBlank="1" showInputMessage="1" showErrorMessage="1" sqref="C22">
      <formula1>$BA$2:$BA$10</formula1>
    </dataValidation>
    <dataValidation type="list" allowBlank="1" showInputMessage="1" showErrorMessage="1" sqref="F1">
      <formula1>$AX$5:$AX$7</formula1>
    </dataValidation>
    <dataValidation type="list" allowBlank="1" showInputMessage="1" showErrorMessage="1" sqref="C5">
      <formula1>$BB$2:$BB$6</formula1>
    </dataValidation>
    <dataValidation type="list" allowBlank="1" showInputMessage="1" showErrorMessage="1" sqref="C15:C16">
      <formula1>$AX$3:$AX$4</formula1>
    </dataValidation>
    <dataValidation type="list" allowBlank="1" showInputMessage="1" showErrorMessage="1" sqref="F12">
      <formula1>$BC$3:$BC$4</formula1>
    </dataValidation>
    <dataValidation type="list" allowBlank="1" showInputMessage="1" showErrorMessage="1" sqref="C20">
      <formula1>$BD$3:$BD$6</formula1>
    </dataValidation>
    <dataValidation type="list" allowBlank="1" showInputMessage="1" showErrorMessage="1" sqref="C8">
      <formula1>$AZ$3:$AZ$7</formula1>
    </dataValidation>
    <dataValidation type="list" allowBlank="1" showInputMessage="1" showErrorMessage="1" sqref="F4">
      <formula1>$BE$3:$BE$4</formula1>
    </dataValidation>
    <dataValidation type="list" allowBlank="1" showInputMessage="1" showErrorMessage="1" sqref="C18">
      <formula1>$BF$3:$BF$5</formula1>
    </dataValidation>
    <dataValidation type="list" allowBlank="1" showInputMessage="1" showErrorMessage="1" sqref="C39:C79">
      <formula1>$A$26:$A$36</formula1>
    </dataValidation>
    <dataValidation type="list" allowBlank="1" showInputMessage="1" showErrorMessage="1" sqref="B6">
      <formula1>$BC$12:$BC$14</formula1>
    </dataValidation>
    <dataValidation type="list" allowBlank="1" showInputMessage="1" showErrorMessage="1" sqref="B39:B79">
      <formula1>$BG$25:$BG$151</formula1>
    </dataValidation>
    <dataValidation allowBlank="1" showInputMessage="1" sqref="AN26"/>
    <dataValidation type="list" allowBlank="1" showInputMessage="1" showErrorMessage="1" sqref="H4">
      <formula1>"10,15,20,25,30,35,40,45,50,55,60,65,70,75,80,85,90,95,100"</formula1>
    </dataValidation>
  </dataValidations>
  <pageMargins left="0" right="0" top="0" bottom="0" header="0" footer="0"/>
  <pageSetup scale="79" orientation="portrait" horizontalDpi="300" verticalDpi="300" r:id="rId1"/>
  <headerFooter alignWithMargins="0"/>
  <webPublishItems count="1">
    <webPublishItem id="31960" divId="Mechlab_31960" sourceType="sheet" destinationFile="F:\mechlab\mechlab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DJ101"/>
  <sheetViews>
    <sheetView workbookViewId="0">
      <selection activeCell="A6" sqref="A6"/>
    </sheetView>
  </sheetViews>
  <sheetFormatPr defaultRowHeight="12.75"/>
  <cols>
    <col min="7" max="7" width="12.7109375" bestFit="1" customWidth="1"/>
    <col min="8" max="9" width="13.85546875" bestFit="1" customWidth="1"/>
    <col min="10" max="10" width="14.85546875" bestFit="1" customWidth="1"/>
    <col min="11" max="11" width="12.7109375" bestFit="1" customWidth="1"/>
    <col min="12" max="12" width="13.85546875" bestFit="1" customWidth="1"/>
    <col min="35" max="114" width="9.140625" style="2"/>
  </cols>
  <sheetData>
    <row r="1" spans="1:114" ht="13.5" thickBot="1">
      <c r="A1" s="2"/>
      <c r="B1" s="2"/>
      <c r="C1" s="2"/>
      <c r="D1" s="2"/>
      <c r="E1" s="2"/>
      <c r="F1" s="2"/>
      <c r="G1" s="2" t="s">
        <v>18</v>
      </c>
      <c r="H1" s="2" t="s">
        <v>26</v>
      </c>
      <c r="I1" s="2" t="s">
        <v>16</v>
      </c>
      <c r="J1" s="2" t="s">
        <v>19</v>
      </c>
      <c r="K1" s="2" t="s">
        <v>20</v>
      </c>
      <c r="L1" s="2" t="s">
        <v>27</v>
      </c>
      <c r="O1" s="8" t="s">
        <v>1</v>
      </c>
      <c r="P1" s="7">
        <v>10</v>
      </c>
      <c r="Q1" s="7">
        <f t="shared" ref="Q1:AH1" si="0">+P1+5</f>
        <v>15</v>
      </c>
      <c r="R1" s="7">
        <f t="shared" si="0"/>
        <v>20</v>
      </c>
      <c r="S1" s="7">
        <f t="shared" si="0"/>
        <v>25</v>
      </c>
      <c r="T1" s="7">
        <f t="shared" si="0"/>
        <v>30</v>
      </c>
      <c r="U1" s="7">
        <f t="shared" si="0"/>
        <v>35</v>
      </c>
      <c r="V1" s="7">
        <f t="shared" si="0"/>
        <v>40</v>
      </c>
      <c r="W1" s="7">
        <f t="shared" si="0"/>
        <v>45</v>
      </c>
      <c r="X1" s="7">
        <f t="shared" si="0"/>
        <v>50</v>
      </c>
      <c r="Y1" s="7">
        <f t="shared" si="0"/>
        <v>55</v>
      </c>
      <c r="Z1" s="7">
        <f t="shared" si="0"/>
        <v>60</v>
      </c>
      <c r="AA1" s="7">
        <f t="shared" si="0"/>
        <v>65</v>
      </c>
      <c r="AB1" s="7">
        <f t="shared" si="0"/>
        <v>70</v>
      </c>
      <c r="AC1" s="12">
        <f t="shared" si="0"/>
        <v>75</v>
      </c>
      <c r="AD1" s="7">
        <f t="shared" si="0"/>
        <v>80</v>
      </c>
      <c r="AE1" s="7">
        <f t="shared" si="0"/>
        <v>85</v>
      </c>
      <c r="AF1" s="7">
        <f t="shared" si="0"/>
        <v>90</v>
      </c>
      <c r="AG1" s="7">
        <f t="shared" si="0"/>
        <v>95</v>
      </c>
      <c r="AH1" s="7">
        <f t="shared" si="0"/>
        <v>100</v>
      </c>
      <c r="AI1" s="34">
        <f t="shared" ref="AI1:CT1" si="1">+AH1+5</f>
        <v>105</v>
      </c>
      <c r="AJ1" s="34">
        <f t="shared" si="1"/>
        <v>110</v>
      </c>
      <c r="AK1" s="34">
        <f t="shared" si="1"/>
        <v>115</v>
      </c>
      <c r="AL1" s="34">
        <f t="shared" si="1"/>
        <v>120</v>
      </c>
      <c r="AM1" s="34">
        <f t="shared" si="1"/>
        <v>125</v>
      </c>
      <c r="AN1" s="34">
        <f t="shared" si="1"/>
        <v>130</v>
      </c>
      <c r="AO1" s="34">
        <f t="shared" si="1"/>
        <v>135</v>
      </c>
      <c r="AP1" s="34">
        <f t="shared" si="1"/>
        <v>140</v>
      </c>
      <c r="AQ1" s="34">
        <f t="shared" si="1"/>
        <v>145</v>
      </c>
      <c r="AR1" s="34">
        <f t="shared" si="1"/>
        <v>150</v>
      </c>
      <c r="AS1" s="34">
        <f t="shared" si="1"/>
        <v>155</v>
      </c>
      <c r="AT1" s="34">
        <f t="shared" si="1"/>
        <v>160</v>
      </c>
      <c r="AU1" s="34">
        <f t="shared" si="1"/>
        <v>165</v>
      </c>
      <c r="AV1" s="34">
        <f t="shared" si="1"/>
        <v>170</v>
      </c>
      <c r="AW1" s="34">
        <f t="shared" si="1"/>
        <v>175</v>
      </c>
      <c r="AX1" s="34">
        <f t="shared" si="1"/>
        <v>180</v>
      </c>
      <c r="AY1" s="34">
        <f t="shared" si="1"/>
        <v>185</v>
      </c>
      <c r="AZ1" s="34">
        <f t="shared" si="1"/>
        <v>190</v>
      </c>
      <c r="BA1" s="34">
        <f t="shared" si="1"/>
        <v>195</v>
      </c>
      <c r="BB1" s="34">
        <f t="shared" si="1"/>
        <v>200</v>
      </c>
      <c r="BC1" s="34">
        <f t="shared" si="1"/>
        <v>205</v>
      </c>
      <c r="BD1" s="34">
        <f t="shared" si="1"/>
        <v>210</v>
      </c>
      <c r="BE1" s="34">
        <f t="shared" si="1"/>
        <v>215</v>
      </c>
      <c r="BF1" s="34">
        <f t="shared" si="1"/>
        <v>220</v>
      </c>
      <c r="BG1" s="34">
        <f t="shared" si="1"/>
        <v>225</v>
      </c>
      <c r="BH1" s="34">
        <f t="shared" si="1"/>
        <v>230</v>
      </c>
      <c r="BI1" s="34">
        <f t="shared" si="1"/>
        <v>235</v>
      </c>
      <c r="BJ1" s="34">
        <f t="shared" si="1"/>
        <v>240</v>
      </c>
      <c r="BK1" s="34">
        <f t="shared" si="1"/>
        <v>245</v>
      </c>
      <c r="BL1" s="34">
        <f t="shared" si="1"/>
        <v>250</v>
      </c>
      <c r="BM1" s="34">
        <f t="shared" si="1"/>
        <v>255</v>
      </c>
      <c r="BN1" s="34">
        <f t="shared" si="1"/>
        <v>260</v>
      </c>
      <c r="BO1" s="34">
        <f t="shared" si="1"/>
        <v>265</v>
      </c>
      <c r="BP1" s="34">
        <f t="shared" si="1"/>
        <v>270</v>
      </c>
      <c r="BQ1" s="34">
        <f t="shared" si="1"/>
        <v>275</v>
      </c>
      <c r="BR1" s="34">
        <f t="shared" si="1"/>
        <v>280</v>
      </c>
      <c r="BS1" s="34">
        <f t="shared" si="1"/>
        <v>285</v>
      </c>
      <c r="BT1" s="34">
        <f t="shared" si="1"/>
        <v>290</v>
      </c>
      <c r="BU1" s="34">
        <f t="shared" si="1"/>
        <v>295</v>
      </c>
      <c r="BV1" s="34">
        <f t="shared" si="1"/>
        <v>300</v>
      </c>
      <c r="BW1" s="34">
        <f t="shared" si="1"/>
        <v>305</v>
      </c>
      <c r="BX1" s="34">
        <f t="shared" si="1"/>
        <v>310</v>
      </c>
      <c r="BY1" s="34">
        <f t="shared" si="1"/>
        <v>315</v>
      </c>
      <c r="BZ1" s="34">
        <f t="shared" si="1"/>
        <v>320</v>
      </c>
      <c r="CA1" s="34">
        <f t="shared" si="1"/>
        <v>325</v>
      </c>
      <c r="CB1" s="34">
        <f t="shared" si="1"/>
        <v>330</v>
      </c>
      <c r="CC1" s="34">
        <f t="shared" si="1"/>
        <v>335</v>
      </c>
      <c r="CD1" s="34">
        <f t="shared" si="1"/>
        <v>340</v>
      </c>
      <c r="CE1" s="34">
        <f t="shared" si="1"/>
        <v>345</v>
      </c>
      <c r="CF1" s="34">
        <f t="shared" si="1"/>
        <v>350</v>
      </c>
      <c r="CG1" s="34">
        <f t="shared" si="1"/>
        <v>355</v>
      </c>
      <c r="CH1" s="34">
        <f t="shared" si="1"/>
        <v>360</v>
      </c>
      <c r="CI1" s="34">
        <f t="shared" si="1"/>
        <v>365</v>
      </c>
      <c r="CJ1" s="34">
        <f t="shared" si="1"/>
        <v>370</v>
      </c>
      <c r="CK1" s="34">
        <f t="shared" si="1"/>
        <v>375</v>
      </c>
      <c r="CL1" s="34">
        <f t="shared" si="1"/>
        <v>380</v>
      </c>
      <c r="CM1" s="34">
        <f t="shared" si="1"/>
        <v>385</v>
      </c>
      <c r="CN1" s="34">
        <f t="shared" si="1"/>
        <v>390</v>
      </c>
      <c r="CO1" s="34">
        <f t="shared" si="1"/>
        <v>395</v>
      </c>
      <c r="CP1" s="34">
        <f t="shared" si="1"/>
        <v>400</v>
      </c>
      <c r="CQ1" s="34">
        <f t="shared" si="1"/>
        <v>405</v>
      </c>
      <c r="CR1" s="34">
        <f t="shared" si="1"/>
        <v>410</v>
      </c>
      <c r="CS1" s="34">
        <f t="shared" si="1"/>
        <v>415</v>
      </c>
      <c r="CT1" s="34">
        <f t="shared" si="1"/>
        <v>420</v>
      </c>
      <c r="CU1" s="34">
        <f t="shared" ref="CU1:DJ1" si="2">+CT1+5</f>
        <v>425</v>
      </c>
      <c r="CV1" s="34">
        <f t="shared" si="2"/>
        <v>430</v>
      </c>
      <c r="CW1" s="34">
        <f t="shared" si="2"/>
        <v>435</v>
      </c>
      <c r="CX1" s="34">
        <f t="shared" si="2"/>
        <v>440</v>
      </c>
      <c r="CY1" s="34">
        <f t="shared" si="2"/>
        <v>445</v>
      </c>
      <c r="CZ1" s="34">
        <f t="shared" si="2"/>
        <v>450</v>
      </c>
      <c r="DA1" s="34">
        <f t="shared" si="2"/>
        <v>455</v>
      </c>
      <c r="DB1" s="34">
        <f t="shared" si="2"/>
        <v>460</v>
      </c>
      <c r="DC1" s="34">
        <f t="shared" si="2"/>
        <v>465</v>
      </c>
      <c r="DD1" s="34">
        <f t="shared" si="2"/>
        <v>470</v>
      </c>
      <c r="DE1" s="34">
        <f t="shared" si="2"/>
        <v>475</v>
      </c>
      <c r="DF1" s="34">
        <f t="shared" si="2"/>
        <v>480</v>
      </c>
      <c r="DG1" s="34">
        <f t="shared" si="2"/>
        <v>485</v>
      </c>
      <c r="DH1" s="34">
        <f t="shared" si="2"/>
        <v>490</v>
      </c>
      <c r="DI1" s="34">
        <f t="shared" si="2"/>
        <v>495</v>
      </c>
      <c r="DJ1" s="34">
        <f t="shared" si="2"/>
        <v>500</v>
      </c>
    </row>
    <row r="2" spans="1:114" ht="13.5" thickTop="1">
      <c r="A2" s="2" t="s">
        <v>25</v>
      </c>
      <c r="B2" s="2" t="s">
        <v>18</v>
      </c>
      <c r="C2" s="2" t="s">
        <v>26</v>
      </c>
      <c r="D2" s="2" t="s">
        <v>16</v>
      </c>
      <c r="E2" s="2" t="s">
        <v>19</v>
      </c>
      <c r="F2" s="2" t="s">
        <v>27</v>
      </c>
      <c r="G2" s="2">
        <v>5000</v>
      </c>
      <c r="H2" s="2">
        <v>15000</v>
      </c>
      <c r="I2" s="2">
        <v>20000</v>
      </c>
      <c r="J2" s="2">
        <v>100000</v>
      </c>
      <c r="K2" s="2">
        <v>1250</v>
      </c>
      <c r="L2" s="2">
        <v>10000</v>
      </c>
      <c r="O2" s="9" t="s">
        <v>21</v>
      </c>
      <c r="P2" s="2">
        <v>4</v>
      </c>
      <c r="Q2" s="2">
        <v>5</v>
      </c>
      <c r="R2" s="2">
        <f>+Q2+1</f>
        <v>6</v>
      </c>
      <c r="S2" s="2">
        <v>8</v>
      </c>
      <c r="T2" s="2">
        <v>10</v>
      </c>
      <c r="U2" s="2">
        <f>+T2+1</f>
        <v>11</v>
      </c>
      <c r="V2" s="2">
        <f>+U2+1</f>
        <v>12</v>
      </c>
      <c r="W2" s="2">
        <v>14</v>
      </c>
      <c r="X2" s="2">
        <v>16</v>
      </c>
      <c r="Y2" s="2">
        <v>18</v>
      </c>
      <c r="Z2" s="2">
        <v>20</v>
      </c>
      <c r="AA2" s="2">
        <f>+Z2+1</f>
        <v>21</v>
      </c>
      <c r="AB2" s="2">
        <f>+AA2+1</f>
        <v>22</v>
      </c>
      <c r="AC2" s="4">
        <f>+AB2+1</f>
        <v>23</v>
      </c>
      <c r="AD2" s="2">
        <v>25</v>
      </c>
      <c r="AE2" s="2">
        <v>27</v>
      </c>
      <c r="AF2" s="2">
        <v>29</v>
      </c>
      <c r="AG2" s="2">
        <f t="shared" ref="AG2:AH5" si="3">+AF2+1</f>
        <v>30</v>
      </c>
      <c r="AH2" s="2">
        <f t="shared" si="3"/>
        <v>31</v>
      </c>
      <c r="AI2" s="29">
        <v>32</v>
      </c>
      <c r="AJ2" s="29">
        <v>33</v>
      </c>
      <c r="AK2" s="29">
        <v>35</v>
      </c>
      <c r="AL2" s="29">
        <v>37</v>
      </c>
      <c r="AM2" s="29">
        <v>38</v>
      </c>
      <c r="AN2" s="29">
        <v>39</v>
      </c>
      <c r="AO2" s="29">
        <v>41</v>
      </c>
      <c r="AP2" s="29">
        <v>43</v>
      </c>
      <c r="AQ2" s="29">
        <v>45</v>
      </c>
      <c r="AR2" s="29">
        <v>47</v>
      </c>
      <c r="AS2" s="29">
        <v>48</v>
      </c>
      <c r="AT2" s="29">
        <v>49</v>
      </c>
      <c r="AU2" s="29">
        <v>50</v>
      </c>
      <c r="AV2" s="29">
        <v>52</v>
      </c>
      <c r="AW2" s="29">
        <v>54</v>
      </c>
      <c r="AX2" s="29">
        <v>56</v>
      </c>
      <c r="AY2" s="29">
        <v>57</v>
      </c>
      <c r="AZ2" s="29">
        <v>58</v>
      </c>
      <c r="BA2" s="29">
        <v>59</v>
      </c>
      <c r="BB2" s="29">
        <v>60</v>
      </c>
      <c r="BC2" s="29">
        <v>62</v>
      </c>
      <c r="BD2" s="29">
        <v>64</v>
      </c>
      <c r="BE2" s="29">
        <v>65</v>
      </c>
      <c r="BF2" s="29">
        <v>66</v>
      </c>
      <c r="BG2" s="29">
        <v>68</v>
      </c>
      <c r="BH2" s="29">
        <v>70</v>
      </c>
      <c r="BI2" s="29">
        <v>72</v>
      </c>
      <c r="BJ2" s="29">
        <v>74</v>
      </c>
      <c r="BK2" s="29">
        <v>75</v>
      </c>
      <c r="BL2" s="29">
        <v>76</v>
      </c>
      <c r="BM2" s="29">
        <v>77</v>
      </c>
      <c r="BN2" s="29">
        <v>79</v>
      </c>
      <c r="BO2" s="29">
        <v>81</v>
      </c>
      <c r="BP2" s="29">
        <v>83</v>
      </c>
      <c r="BQ2" s="29">
        <v>84</v>
      </c>
      <c r="BR2" s="29">
        <v>85</v>
      </c>
      <c r="BS2" s="29">
        <v>86</v>
      </c>
      <c r="BT2" s="29">
        <v>87</v>
      </c>
      <c r="BU2" s="29">
        <v>89</v>
      </c>
      <c r="BV2" s="29">
        <v>91</v>
      </c>
      <c r="BW2" s="29">
        <v>92</v>
      </c>
      <c r="BX2" s="29">
        <v>93</v>
      </c>
      <c r="BY2" s="29">
        <v>95</v>
      </c>
      <c r="BZ2" s="29">
        <v>97</v>
      </c>
      <c r="CA2" s="29">
        <v>99</v>
      </c>
      <c r="CB2" s="29">
        <v>101</v>
      </c>
      <c r="CC2" s="29">
        <v>102</v>
      </c>
      <c r="CD2" s="29">
        <v>103</v>
      </c>
      <c r="CE2" s="29">
        <v>104</v>
      </c>
      <c r="CF2" s="29">
        <v>106</v>
      </c>
      <c r="CG2" s="29">
        <v>108</v>
      </c>
      <c r="CH2" s="29">
        <v>110</v>
      </c>
      <c r="CI2" s="29">
        <v>111</v>
      </c>
      <c r="CJ2" s="29">
        <v>112</v>
      </c>
      <c r="CK2" s="29">
        <v>113</v>
      </c>
      <c r="CL2" s="29">
        <v>114</v>
      </c>
      <c r="CM2" s="29">
        <v>116</v>
      </c>
      <c r="CN2" s="29">
        <v>118</v>
      </c>
      <c r="CO2" s="29">
        <v>119</v>
      </c>
      <c r="CP2" s="29">
        <v>120</v>
      </c>
      <c r="CQ2" s="29">
        <v>122</v>
      </c>
      <c r="CR2" s="29">
        <v>124</v>
      </c>
      <c r="CS2" s="29">
        <v>126</v>
      </c>
      <c r="CT2" s="29">
        <v>128</v>
      </c>
      <c r="CU2" s="29">
        <v>129</v>
      </c>
      <c r="CV2" s="29">
        <v>130</v>
      </c>
      <c r="CW2" s="29">
        <v>131</v>
      </c>
      <c r="CX2" s="29">
        <v>133</v>
      </c>
      <c r="CY2" s="29">
        <v>135</v>
      </c>
      <c r="CZ2" s="29">
        <v>137</v>
      </c>
      <c r="DA2" s="29">
        <v>138</v>
      </c>
      <c r="DB2" s="29">
        <v>139</v>
      </c>
      <c r="DC2" s="29">
        <v>140</v>
      </c>
      <c r="DD2" s="29">
        <v>141</v>
      </c>
      <c r="DE2" s="29">
        <v>143</v>
      </c>
      <c r="DF2" s="29">
        <v>145</v>
      </c>
      <c r="DG2" s="29">
        <v>146</v>
      </c>
      <c r="DH2" s="29">
        <v>147</v>
      </c>
      <c r="DI2" s="29">
        <v>149</v>
      </c>
      <c r="DJ2" s="29">
        <v>151</v>
      </c>
    </row>
    <row r="3" spans="1:114">
      <c r="A3" s="2">
        <v>10</v>
      </c>
      <c r="B3" s="2">
        <v>0.5</v>
      </c>
      <c r="C3" s="2">
        <v>0.5</v>
      </c>
      <c r="D3" s="2">
        <v>0.5</v>
      </c>
      <c r="E3" s="2">
        <v>0.5</v>
      </c>
      <c r="F3" s="2">
        <v>1</v>
      </c>
      <c r="G3" s="3">
        <f>+(Mechlab!$H$4*$A3*G$2)/75</f>
        <v>6666.666666666667</v>
      </c>
      <c r="H3" s="3">
        <f>+(Mechlab!$H$4*$A3*H$2)/75</f>
        <v>20000</v>
      </c>
      <c r="I3" s="3">
        <f>+(Mechlab!$H$4*$A3*I$2)/75</f>
        <v>26666.666666666668</v>
      </c>
      <c r="J3" s="3">
        <f>+(Mechlab!$H$4*$A3*J$2)/75</f>
        <v>133333.33333333334</v>
      </c>
      <c r="K3" s="3">
        <f>+(Mechlab!$H$4*$A3*K$2)/75</f>
        <v>1666.6666666666667</v>
      </c>
      <c r="L3" s="3">
        <f>+(Mechlab!$H$4*$A3*L$2)/75</f>
        <v>13333.333333333334</v>
      </c>
      <c r="O3" s="9" t="s">
        <v>22</v>
      </c>
      <c r="P3" s="2">
        <v>3</v>
      </c>
      <c r="Q3" s="2">
        <v>4</v>
      </c>
      <c r="R3" s="2">
        <f>+Q3+1</f>
        <v>5</v>
      </c>
      <c r="S3" s="2">
        <f t="shared" ref="S3:U4" si="4">+R3+1</f>
        <v>6</v>
      </c>
      <c r="T3" s="2">
        <f t="shared" si="4"/>
        <v>7</v>
      </c>
      <c r="U3" s="2">
        <f t="shared" si="4"/>
        <v>8</v>
      </c>
      <c r="V3" s="2">
        <v>10</v>
      </c>
      <c r="W3" s="2">
        <f>+V3+1</f>
        <v>11</v>
      </c>
      <c r="X3" s="2">
        <f>+W3+1</f>
        <v>12</v>
      </c>
      <c r="Y3" s="2">
        <f>+X3+1</f>
        <v>13</v>
      </c>
      <c r="Z3" s="2">
        <f>+Y3+1</f>
        <v>14</v>
      </c>
      <c r="AA3" s="2">
        <f>+Z3+1</f>
        <v>15</v>
      </c>
      <c r="AB3" s="2">
        <v>15</v>
      </c>
      <c r="AC3" s="4">
        <f t="shared" ref="AC3:AF5" si="5">+AB3+1</f>
        <v>16</v>
      </c>
      <c r="AD3" s="2">
        <f t="shared" si="5"/>
        <v>17</v>
      </c>
      <c r="AE3" s="2">
        <f t="shared" si="5"/>
        <v>18</v>
      </c>
      <c r="AF3" s="2">
        <f t="shared" si="5"/>
        <v>19</v>
      </c>
      <c r="AG3" s="2">
        <f t="shared" si="3"/>
        <v>20</v>
      </c>
      <c r="AH3" s="2">
        <f t="shared" si="3"/>
        <v>21</v>
      </c>
      <c r="AI3" s="29">
        <v>22</v>
      </c>
      <c r="AJ3" s="29">
        <v>23</v>
      </c>
      <c r="AK3" s="29">
        <v>24</v>
      </c>
      <c r="AL3" s="29">
        <v>25</v>
      </c>
      <c r="AM3" s="29">
        <v>26</v>
      </c>
      <c r="AN3" s="29">
        <v>28</v>
      </c>
      <c r="AO3" s="29">
        <v>29</v>
      </c>
      <c r="AP3" s="29">
        <v>30</v>
      </c>
      <c r="AQ3" s="29">
        <v>31</v>
      </c>
      <c r="AR3" s="29">
        <v>32</v>
      </c>
      <c r="AS3" s="29">
        <v>33</v>
      </c>
      <c r="AT3" s="29">
        <v>33</v>
      </c>
      <c r="AU3" s="29">
        <v>34</v>
      </c>
      <c r="AV3" s="29">
        <v>35</v>
      </c>
      <c r="AW3" s="29">
        <v>36</v>
      </c>
      <c r="AX3" s="29">
        <v>37</v>
      </c>
      <c r="AY3" s="29">
        <v>38</v>
      </c>
      <c r="AZ3" s="29">
        <v>39</v>
      </c>
      <c r="BA3" s="29">
        <v>40</v>
      </c>
      <c r="BB3" s="29">
        <v>41</v>
      </c>
      <c r="BC3" s="29">
        <v>42</v>
      </c>
      <c r="BD3" s="29">
        <v>43</v>
      </c>
      <c r="BE3" s="29">
        <v>44</v>
      </c>
      <c r="BF3" s="29">
        <v>46</v>
      </c>
      <c r="BG3" s="29">
        <v>47</v>
      </c>
      <c r="BH3" s="29">
        <v>48</v>
      </c>
      <c r="BI3" s="29">
        <v>49</v>
      </c>
      <c r="BJ3" s="29">
        <v>50</v>
      </c>
      <c r="BK3" s="29">
        <v>51</v>
      </c>
      <c r="BL3" s="29">
        <v>51</v>
      </c>
      <c r="BM3" s="29">
        <v>52</v>
      </c>
      <c r="BN3" s="29">
        <v>53</v>
      </c>
      <c r="BO3" s="29">
        <v>54</v>
      </c>
      <c r="BP3" s="29">
        <v>55</v>
      </c>
      <c r="BQ3" s="29">
        <v>56</v>
      </c>
      <c r="BR3" s="29">
        <v>57</v>
      </c>
      <c r="BS3" s="29">
        <v>58</v>
      </c>
      <c r="BT3" s="29">
        <v>59</v>
      </c>
      <c r="BU3" s="29">
        <v>60</v>
      </c>
      <c r="BV3" s="29">
        <v>61</v>
      </c>
      <c r="BW3" s="29">
        <v>62</v>
      </c>
      <c r="BX3" s="29">
        <v>64</v>
      </c>
      <c r="BY3" s="29">
        <v>65</v>
      </c>
      <c r="BZ3" s="29">
        <v>66</v>
      </c>
      <c r="CA3" s="29">
        <v>67</v>
      </c>
      <c r="CB3" s="29">
        <v>68</v>
      </c>
      <c r="CC3" s="29">
        <v>69</v>
      </c>
      <c r="CD3" s="29">
        <v>69</v>
      </c>
      <c r="CE3" s="29">
        <v>70</v>
      </c>
      <c r="CF3" s="29">
        <v>71</v>
      </c>
      <c r="CG3" s="29">
        <v>72</v>
      </c>
      <c r="CH3" s="29">
        <v>73</v>
      </c>
      <c r="CI3" s="29">
        <v>74</v>
      </c>
      <c r="CJ3" s="29">
        <v>75</v>
      </c>
      <c r="CK3" s="29">
        <v>76</v>
      </c>
      <c r="CL3" s="29">
        <v>77</v>
      </c>
      <c r="CM3" s="29">
        <v>78</v>
      </c>
      <c r="CN3" s="29">
        <v>79</v>
      </c>
      <c r="CO3" s="29">
        <v>80</v>
      </c>
      <c r="CP3" s="29">
        <v>82</v>
      </c>
      <c r="CQ3" s="29">
        <v>83</v>
      </c>
      <c r="CR3" s="29">
        <v>84</v>
      </c>
      <c r="CS3" s="29">
        <v>85</v>
      </c>
      <c r="CT3" s="29">
        <v>86</v>
      </c>
      <c r="CU3" s="29">
        <v>87</v>
      </c>
      <c r="CV3" s="29">
        <v>87</v>
      </c>
      <c r="CW3" s="29">
        <v>88</v>
      </c>
      <c r="CX3" s="29">
        <v>89</v>
      </c>
      <c r="CY3" s="29">
        <v>90</v>
      </c>
      <c r="CZ3" s="29">
        <v>91</v>
      </c>
      <c r="DA3" s="29">
        <v>92</v>
      </c>
      <c r="DB3" s="29">
        <v>93</v>
      </c>
      <c r="DC3" s="29">
        <v>94</v>
      </c>
      <c r="DD3" s="29">
        <v>95</v>
      </c>
      <c r="DE3" s="29">
        <v>96</v>
      </c>
      <c r="DF3" s="29">
        <v>97</v>
      </c>
      <c r="DG3" s="29">
        <v>98</v>
      </c>
      <c r="DH3" s="29">
        <v>100</v>
      </c>
      <c r="DI3" s="29">
        <v>101</v>
      </c>
      <c r="DJ3" s="29">
        <v>102</v>
      </c>
    </row>
    <row r="4" spans="1:114">
      <c r="A4" s="2">
        <f t="shared" ref="A4:A35" si="6">+A3+5</f>
        <v>15</v>
      </c>
      <c r="B4" s="2">
        <v>0.5</v>
      </c>
      <c r="C4" s="2">
        <v>0.5</v>
      </c>
      <c r="D4" s="2">
        <v>0.5</v>
      </c>
      <c r="E4" s="2">
        <v>0.5</v>
      </c>
      <c r="F4" s="2">
        <v>1</v>
      </c>
      <c r="G4" s="3">
        <f>+(Mechlab!$H$4*$A4*G$2)/75</f>
        <v>10000</v>
      </c>
      <c r="H4" s="3">
        <f>+(Mechlab!$H$4*$A4*H$2)/75</f>
        <v>30000</v>
      </c>
      <c r="I4" s="3">
        <f>+(Mechlab!$H$4*$A4*I$2)/75</f>
        <v>40000</v>
      </c>
      <c r="J4" s="3">
        <f>+(Mechlab!$H$4*$A4*J$2)/75</f>
        <v>200000</v>
      </c>
      <c r="K4" s="3">
        <f>+(Mechlab!$H$4*$A4*K$2)/75</f>
        <v>2500</v>
      </c>
      <c r="L4" s="3">
        <f>+(Mechlab!$H$4*$A4*L$2)/75</f>
        <v>20000</v>
      </c>
      <c r="O4" s="9" t="s">
        <v>23</v>
      </c>
      <c r="P4" s="2">
        <v>1</v>
      </c>
      <c r="Q4" s="2">
        <v>2</v>
      </c>
      <c r="R4" s="2">
        <f>+Q4+1</f>
        <v>3</v>
      </c>
      <c r="S4" s="2">
        <f t="shared" si="4"/>
        <v>4</v>
      </c>
      <c r="T4" s="2">
        <f t="shared" si="4"/>
        <v>5</v>
      </c>
      <c r="U4" s="2">
        <f t="shared" si="4"/>
        <v>6</v>
      </c>
      <c r="V4" s="2">
        <v>6</v>
      </c>
      <c r="W4" s="2">
        <f t="shared" ref="W4:Z5" si="7">+V4+1</f>
        <v>7</v>
      </c>
      <c r="X4" s="2">
        <f t="shared" si="7"/>
        <v>8</v>
      </c>
      <c r="Y4" s="2">
        <f t="shared" si="7"/>
        <v>9</v>
      </c>
      <c r="Z4" s="2">
        <f t="shared" si="7"/>
        <v>10</v>
      </c>
      <c r="AA4" s="2">
        <v>10</v>
      </c>
      <c r="AB4" s="2">
        <f>+AA4+1</f>
        <v>11</v>
      </c>
      <c r="AC4" s="4">
        <f t="shared" si="5"/>
        <v>12</v>
      </c>
      <c r="AD4" s="2">
        <f t="shared" si="5"/>
        <v>13</v>
      </c>
      <c r="AE4" s="2">
        <f t="shared" si="5"/>
        <v>14</v>
      </c>
      <c r="AF4" s="2">
        <f t="shared" si="5"/>
        <v>15</v>
      </c>
      <c r="AG4" s="2">
        <f t="shared" si="3"/>
        <v>16</v>
      </c>
      <c r="AH4" s="2">
        <f t="shared" si="3"/>
        <v>17</v>
      </c>
      <c r="AI4" s="29">
        <v>18</v>
      </c>
      <c r="AJ4" s="29">
        <v>19</v>
      </c>
      <c r="AK4" s="29">
        <v>20</v>
      </c>
      <c r="AL4" s="29">
        <v>21</v>
      </c>
      <c r="AM4" s="29">
        <v>22</v>
      </c>
      <c r="AN4" s="29">
        <v>22</v>
      </c>
      <c r="AO4" s="29">
        <v>23</v>
      </c>
      <c r="AP4" s="29">
        <v>24</v>
      </c>
      <c r="AQ4" s="29">
        <v>25</v>
      </c>
      <c r="AR4" s="29">
        <v>26</v>
      </c>
      <c r="AS4" s="29">
        <v>26</v>
      </c>
      <c r="AT4" s="29">
        <v>27</v>
      </c>
      <c r="AU4" s="29">
        <v>28</v>
      </c>
      <c r="AV4" s="29">
        <v>29</v>
      </c>
      <c r="AW4" s="29">
        <v>30</v>
      </c>
      <c r="AX4" s="29">
        <v>31</v>
      </c>
      <c r="AY4" s="29">
        <v>32</v>
      </c>
      <c r="AZ4" s="29">
        <v>33</v>
      </c>
      <c r="BA4" s="29">
        <v>34</v>
      </c>
      <c r="BB4" s="29">
        <v>35</v>
      </c>
      <c r="BC4" s="29">
        <v>36</v>
      </c>
      <c r="BD4" s="29">
        <v>37</v>
      </c>
      <c r="BE4" s="29">
        <v>38</v>
      </c>
      <c r="BF4" s="29">
        <v>38</v>
      </c>
      <c r="BG4" s="29">
        <v>39</v>
      </c>
      <c r="BH4" s="29">
        <v>40</v>
      </c>
      <c r="BI4" s="29">
        <v>41</v>
      </c>
      <c r="BJ4" s="29">
        <v>42</v>
      </c>
      <c r="BK4" s="29">
        <v>42</v>
      </c>
      <c r="BL4" s="29">
        <v>43</v>
      </c>
      <c r="BM4" s="29">
        <v>44</v>
      </c>
      <c r="BN4" s="29">
        <v>45</v>
      </c>
      <c r="BO4" s="29">
        <v>46</v>
      </c>
      <c r="BP4" s="29">
        <v>47</v>
      </c>
      <c r="BQ4" s="29">
        <v>48</v>
      </c>
      <c r="BR4" s="29">
        <v>49</v>
      </c>
      <c r="BS4" s="29">
        <v>50</v>
      </c>
      <c r="BT4" s="29">
        <v>51</v>
      </c>
      <c r="BU4" s="29">
        <v>52</v>
      </c>
      <c r="BV4" s="29">
        <v>53</v>
      </c>
      <c r="BW4" s="29">
        <v>54</v>
      </c>
      <c r="BX4" s="29">
        <v>54</v>
      </c>
      <c r="BY4" s="29">
        <v>55</v>
      </c>
      <c r="BZ4" s="29">
        <v>56</v>
      </c>
      <c r="CA4" s="29">
        <v>57</v>
      </c>
      <c r="CB4" s="29">
        <v>58</v>
      </c>
      <c r="CC4" s="29">
        <v>58</v>
      </c>
      <c r="CD4" s="29">
        <v>59</v>
      </c>
      <c r="CE4" s="29">
        <v>60</v>
      </c>
      <c r="CF4" s="29">
        <v>61</v>
      </c>
      <c r="CG4" s="29">
        <v>62</v>
      </c>
      <c r="CH4" s="29">
        <v>63</v>
      </c>
      <c r="CI4" s="29">
        <v>64</v>
      </c>
      <c r="CJ4" s="29">
        <v>65</v>
      </c>
      <c r="CK4" s="29">
        <v>66</v>
      </c>
      <c r="CL4" s="29">
        <v>67</v>
      </c>
      <c r="CM4" s="29">
        <v>68</v>
      </c>
      <c r="CN4" s="29">
        <v>69</v>
      </c>
      <c r="CO4" s="29">
        <v>70</v>
      </c>
      <c r="CP4" s="29">
        <v>70</v>
      </c>
      <c r="CQ4" s="29">
        <v>71</v>
      </c>
      <c r="CR4" s="29">
        <v>72</v>
      </c>
      <c r="CS4" s="29">
        <v>73</v>
      </c>
      <c r="CT4" s="29">
        <v>74</v>
      </c>
      <c r="CU4" s="29">
        <v>74</v>
      </c>
      <c r="CV4" s="29">
        <v>75</v>
      </c>
      <c r="CW4" s="29">
        <v>76</v>
      </c>
      <c r="CX4" s="29">
        <v>77</v>
      </c>
      <c r="CY4" s="29">
        <v>78</v>
      </c>
      <c r="CZ4" s="29">
        <v>79</v>
      </c>
      <c r="DA4" s="29">
        <v>80</v>
      </c>
      <c r="DB4" s="29">
        <v>81</v>
      </c>
      <c r="DC4" s="29">
        <v>82</v>
      </c>
      <c r="DD4" s="29">
        <v>83</v>
      </c>
      <c r="DE4" s="29">
        <v>84</v>
      </c>
      <c r="DF4" s="29">
        <v>85</v>
      </c>
      <c r="DG4" s="29">
        <v>86</v>
      </c>
      <c r="DH4" s="29">
        <v>86</v>
      </c>
      <c r="DI4" s="29">
        <v>87</v>
      </c>
      <c r="DJ4" s="29">
        <v>88</v>
      </c>
    </row>
    <row r="5" spans="1:114">
      <c r="A5" s="2">
        <f t="shared" si="6"/>
        <v>20</v>
      </c>
      <c r="B5" s="2">
        <v>0.5</v>
      </c>
      <c r="C5" s="2">
        <v>0.5</v>
      </c>
      <c r="D5" s="2">
        <v>0.5</v>
      </c>
      <c r="E5" s="2">
        <v>0.5</v>
      </c>
      <c r="F5" s="2">
        <v>1</v>
      </c>
      <c r="G5" s="3">
        <f>+(Mechlab!$H$4*$A5*G$2)/75</f>
        <v>13333.333333333334</v>
      </c>
      <c r="H5" s="3">
        <f>+(Mechlab!$H$4*$A5*H$2)/75</f>
        <v>40000</v>
      </c>
      <c r="I5" s="3">
        <f>+(Mechlab!$H$4*$A5*I$2)/75</f>
        <v>53333.333333333336</v>
      </c>
      <c r="J5" s="3">
        <f>+(Mechlab!$H$4*$A5*J$2)/75</f>
        <v>266666.66666666669</v>
      </c>
      <c r="K5" s="3">
        <f>+(Mechlab!$H$4*$A5*K$2)/75</f>
        <v>3333.3333333333335</v>
      </c>
      <c r="L5" s="3">
        <f>+(Mechlab!$H$4*$A5*L$2)/75</f>
        <v>26666.666666666668</v>
      </c>
      <c r="O5" s="9" t="s">
        <v>24</v>
      </c>
      <c r="P5" s="2">
        <v>2</v>
      </c>
      <c r="Q5" s="2">
        <v>3</v>
      </c>
      <c r="R5" s="2">
        <f>+Q5+1</f>
        <v>4</v>
      </c>
      <c r="S5" s="2">
        <v>6</v>
      </c>
      <c r="T5" s="2">
        <f>+S5+1</f>
        <v>7</v>
      </c>
      <c r="U5" s="2">
        <f>+T5+1</f>
        <v>8</v>
      </c>
      <c r="V5" s="2">
        <v>10</v>
      </c>
      <c r="W5" s="2">
        <f t="shared" si="7"/>
        <v>11</v>
      </c>
      <c r="X5" s="2">
        <f t="shared" si="7"/>
        <v>12</v>
      </c>
      <c r="Y5" s="2">
        <f t="shared" si="7"/>
        <v>13</v>
      </c>
      <c r="Z5" s="2">
        <f t="shared" si="7"/>
        <v>14</v>
      </c>
      <c r="AA5" s="2">
        <f>+Z5+1</f>
        <v>15</v>
      </c>
      <c r="AB5" s="2">
        <v>15</v>
      </c>
      <c r="AC5" s="4">
        <f t="shared" si="5"/>
        <v>16</v>
      </c>
      <c r="AD5" s="2">
        <f t="shared" si="5"/>
        <v>17</v>
      </c>
      <c r="AE5" s="2">
        <f t="shared" si="5"/>
        <v>18</v>
      </c>
      <c r="AF5" s="2">
        <f t="shared" si="5"/>
        <v>19</v>
      </c>
      <c r="AG5" s="2">
        <f t="shared" si="3"/>
        <v>20</v>
      </c>
      <c r="AH5" s="2">
        <f t="shared" si="3"/>
        <v>21</v>
      </c>
      <c r="AI5" s="29">
        <v>22</v>
      </c>
      <c r="AJ5" s="29">
        <v>23</v>
      </c>
      <c r="AK5" s="29">
        <v>25</v>
      </c>
      <c r="AL5" s="29">
        <v>26</v>
      </c>
      <c r="AM5" s="29">
        <v>27</v>
      </c>
      <c r="AN5" s="29">
        <v>29</v>
      </c>
      <c r="AO5" s="29">
        <v>30</v>
      </c>
      <c r="AP5" s="29">
        <v>31</v>
      </c>
      <c r="AQ5" s="29">
        <v>32</v>
      </c>
      <c r="AR5" s="29">
        <v>33</v>
      </c>
      <c r="AS5" s="29">
        <v>34</v>
      </c>
      <c r="AT5" s="29">
        <v>34</v>
      </c>
      <c r="AU5" s="29">
        <v>35</v>
      </c>
      <c r="AV5" s="29">
        <v>36</v>
      </c>
      <c r="AW5" s="29">
        <v>37</v>
      </c>
      <c r="AX5" s="29">
        <v>38</v>
      </c>
      <c r="AY5" s="29">
        <v>39</v>
      </c>
      <c r="AZ5" s="29">
        <v>40</v>
      </c>
      <c r="BA5" s="29">
        <v>41</v>
      </c>
      <c r="BB5" s="29">
        <v>42</v>
      </c>
      <c r="BC5" s="29">
        <v>44</v>
      </c>
      <c r="BD5" s="29">
        <v>45</v>
      </c>
      <c r="BE5" s="29">
        <v>46</v>
      </c>
      <c r="BF5" s="29">
        <v>48</v>
      </c>
      <c r="BG5" s="29">
        <v>49</v>
      </c>
      <c r="BH5" s="29">
        <v>50</v>
      </c>
      <c r="BI5" s="29">
        <v>51</v>
      </c>
      <c r="BJ5" s="29">
        <v>52</v>
      </c>
      <c r="BK5" s="29">
        <v>53</v>
      </c>
      <c r="BL5" s="29">
        <v>53</v>
      </c>
      <c r="BM5" s="29">
        <v>54</v>
      </c>
      <c r="BN5" s="29">
        <v>55</v>
      </c>
      <c r="BO5" s="29">
        <v>56</v>
      </c>
      <c r="BP5" s="29">
        <v>57</v>
      </c>
      <c r="BQ5" s="29">
        <v>58</v>
      </c>
      <c r="BR5" s="29">
        <v>59</v>
      </c>
      <c r="BS5" s="29">
        <v>60</v>
      </c>
      <c r="BT5" s="29">
        <v>61</v>
      </c>
      <c r="BU5" s="29">
        <v>63</v>
      </c>
      <c r="BV5" s="29">
        <v>64</v>
      </c>
      <c r="BW5" s="29">
        <v>65</v>
      </c>
      <c r="BX5" s="29">
        <v>67</v>
      </c>
      <c r="BY5" s="29">
        <v>68</v>
      </c>
      <c r="BZ5" s="29">
        <v>69</v>
      </c>
      <c r="CA5" s="29">
        <v>70</v>
      </c>
      <c r="CB5" s="29">
        <v>71</v>
      </c>
      <c r="CC5" s="29">
        <v>72</v>
      </c>
      <c r="CD5" s="29">
        <v>72</v>
      </c>
      <c r="CE5" s="29">
        <v>73</v>
      </c>
      <c r="CF5" s="29">
        <v>74</v>
      </c>
      <c r="CG5" s="29">
        <v>75</v>
      </c>
      <c r="CH5" s="29">
        <v>76</v>
      </c>
      <c r="CI5" s="29">
        <v>77</v>
      </c>
      <c r="CJ5" s="29">
        <v>78</v>
      </c>
      <c r="CK5" s="29">
        <v>79</v>
      </c>
      <c r="CL5" s="29">
        <v>80</v>
      </c>
      <c r="CM5" s="29">
        <v>82</v>
      </c>
      <c r="CN5" s="29">
        <v>83</v>
      </c>
      <c r="CO5" s="29">
        <v>84</v>
      </c>
      <c r="CP5" s="29">
        <v>86</v>
      </c>
      <c r="CQ5" s="29">
        <v>87</v>
      </c>
      <c r="CR5" s="29">
        <v>88</v>
      </c>
      <c r="CS5" s="29">
        <v>89</v>
      </c>
      <c r="CT5" s="29">
        <v>90</v>
      </c>
      <c r="CU5" s="29">
        <v>91</v>
      </c>
      <c r="CV5" s="29">
        <v>91</v>
      </c>
      <c r="CW5" s="29">
        <v>92</v>
      </c>
      <c r="CX5" s="29">
        <v>93</v>
      </c>
      <c r="CY5" s="29">
        <v>94</v>
      </c>
      <c r="CZ5" s="29">
        <v>95</v>
      </c>
      <c r="DA5" s="29">
        <v>96</v>
      </c>
      <c r="DB5" s="29">
        <v>97</v>
      </c>
      <c r="DC5" s="29">
        <v>98</v>
      </c>
      <c r="DD5" s="29">
        <v>99</v>
      </c>
      <c r="DE5" s="29">
        <v>101</v>
      </c>
      <c r="DF5" s="29">
        <v>102</v>
      </c>
      <c r="DG5" s="29">
        <v>103</v>
      </c>
      <c r="DH5" s="29">
        <v>105</v>
      </c>
      <c r="DI5" s="29">
        <v>106</v>
      </c>
      <c r="DJ5" s="29">
        <v>107</v>
      </c>
    </row>
    <row r="6" spans="1:114">
      <c r="A6" s="2">
        <f t="shared" si="6"/>
        <v>25</v>
      </c>
      <c r="B6" s="2">
        <v>0.5</v>
      </c>
      <c r="C6" s="2">
        <v>0.5</v>
      </c>
      <c r="D6" s="2">
        <v>0.5</v>
      </c>
      <c r="E6" s="2">
        <v>0.5</v>
      </c>
      <c r="F6" s="2">
        <v>1</v>
      </c>
      <c r="G6" s="3">
        <f>+(Mechlab!$H$4*$A6*G$2)/75</f>
        <v>16666.666666666668</v>
      </c>
      <c r="H6" s="3">
        <f>+(Mechlab!$H$4*$A6*H$2)/75</f>
        <v>50000</v>
      </c>
      <c r="I6" s="3">
        <f>+(Mechlab!$H$4*$A6*I$2)/75</f>
        <v>66666.666666666672</v>
      </c>
      <c r="J6" s="3">
        <f>+(Mechlab!$H$4*$A6*J$2)/75</f>
        <v>333333.33333333331</v>
      </c>
      <c r="K6" s="3">
        <f>+(Mechlab!$H$4*$A6*K$2)/75</f>
        <v>4166.666666666667</v>
      </c>
      <c r="L6" s="3">
        <f>+(Mechlab!$H$4*$A6*L$2)/75</f>
        <v>33333.333333333336</v>
      </c>
      <c r="O6" s="9" t="s">
        <v>31</v>
      </c>
      <c r="P6" s="2">
        <f t="shared" ref="P6:AH6" si="8">SUM(P2:P5)+SUM(P3:P5)+3</f>
        <v>19</v>
      </c>
      <c r="Q6" s="2">
        <f t="shared" si="8"/>
        <v>26</v>
      </c>
      <c r="R6" s="2">
        <f t="shared" si="8"/>
        <v>33</v>
      </c>
      <c r="S6" s="2">
        <f t="shared" si="8"/>
        <v>43</v>
      </c>
      <c r="T6" s="2">
        <f t="shared" si="8"/>
        <v>51</v>
      </c>
      <c r="U6" s="2">
        <f t="shared" si="8"/>
        <v>58</v>
      </c>
      <c r="V6" s="2">
        <f t="shared" si="8"/>
        <v>67</v>
      </c>
      <c r="W6" s="2">
        <f t="shared" si="8"/>
        <v>75</v>
      </c>
      <c r="X6" s="2">
        <f t="shared" si="8"/>
        <v>83</v>
      </c>
      <c r="Y6" s="2">
        <f t="shared" si="8"/>
        <v>91</v>
      </c>
      <c r="Z6" s="2">
        <f t="shared" si="8"/>
        <v>99</v>
      </c>
      <c r="AA6" s="2">
        <f t="shared" si="8"/>
        <v>104</v>
      </c>
      <c r="AB6" s="2">
        <f t="shared" si="8"/>
        <v>107</v>
      </c>
      <c r="AC6" s="4">
        <f t="shared" si="8"/>
        <v>114</v>
      </c>
      <c r="AD6" s="2">
        <f t="shared" si="8"/>
        <v>122</v>
      </c>
      <c r="AE6" s="2">
        <f t="shared" si="8"/>
        <v>130</v>
      </c>
      <c r="AF6" s="2">
        <f t="shared" si="8"/>
        <v>138</v>
      </c>
      <c r="AG6" s="2">
        <f t="shared" si="8"/>
        <v>145</v>
      </c>
      <c r="AH6" s="2">
        <f t="shared" si="8"/>
        <v>152</v>
      </c>
      <c r="AI6" s="29">
        <f t="shared" ref="AI6:CT6" si="9">SUM(AI2:AI5)+SUM(AI3:AI5)+3</f>
        <v>159</v>
      </c>
      <c r="AJ6" s="29">
        <f t="shared" si="9"/>
        <v>166</v>
      </c>
      <c r="AK6" s="29">
        <f t="shared" si="9"/>
        <v>176</v>
      </c>
      <c r="AL6" s="29">
        <f t="shared" si="9"/>
        <v>184</v>
      </c>
      <c r="AM6" s="29">
        <f t="shared" si="9"/>
        <v>191</v>
      </c>
      <c r="AN6" s="29">
        <f t="shared" si="9"/>
        <v>200</v>
      </c>
      <c r="AO6" s="29">
        <f t="shared" si="9"/>
        <v>208</v>
      </c>
      <c r="AP6" s="29">
        <f t="shared" si="9"/>
        <v>216</v>
      </c>
      <c r="AQ6" s="29">
        <f t="shared" si="9"/>
        <v>224</v>
      </c>
      <c r="AR6" s="29">
        <f t="shared" si="9"/>
        <v>232</v>
      </c>
      <c r="AS6" s="29">
        <f t="shared" si="9"/>
        <v>237</v>
      </c>
      <c r="AT6" s="29">
        <f t="shared" si="9"/>
        <v>240</v>
      </c>
      <c r="AU6" s="29">
        <f t="shared" si="9"/>
        <v>247</v>
      </c>
      <c r="AV6" s="29">
        <f t="shared" si="9"/>
        <v>255</v>
      </c>
      <c r="AW6" s="29">
        <f t="shared" si="9"/>
        <v>263</v>
      </c>
      <c r="AX6" s="29">
        <f t="shared" si="9"/>
        <v>271</v>
      </c>
      <c r="AY6" s="29">
        <f t="shared" si="9"/>
        <v>278</v>
      </c>
      <c r="AZ6" s="29">
        <f t="shared" si="9"/>
        <v>285</v>
      </c>
      <c r="BA6" s="29">
        <f t="shared" si="9"/>
        <v>292</v>
      </c>
      <c r="BB6" s="29">
        <f t="shared" si="9"/>
        <v>299</v>
      </c>
      <c r="BC6" s="29">
        <f t="shared" si="9"/>
        <v>309</v>
      </c>
      <c r="BD6" s="29">
        <f t="shared" si="9"/>
        <v>317</v>
      </c>
      <c r="BE6" s="29">
        <f t="shared" si="9"/>
        <v>324</v>
      </c>
      <c r="BF6" s="29">
        <f t="shared" si="9"/>
        <v>333</v>
      </c>
      <c r="BG6" s="29">
        <f t="shared" si="9"/>
        <v>341</v>
      </c>
      <c r="BH6" s="29">
        <f t="shared" si="9"/>
        <v>349</v>
      </c>
      <c r="BI6" s="29">
        <f t="shared" si="9"/>
        <v>357</v>
      </c>
      <c r="BJ6" s="29">
        <f t="shared" si="9"/>
        <v>365</v>
      </c>
      <c r="BK6" s="29">
        <f t="shared" si="9"/>
        <v>370</v>
      </c>
      <c r="BL6" s="29">
        <f t="shared" si="9"/>
        <v>373</v>
      </c>
      <c r="BM6" s="29">
        <f t="shared" si="9"/>
        <v>380</v>
      </c>
      <c r="BN6" s="29">
        <f t="shared" si="9"/>
        <v>388</v>
      </c>
      <c r="BO6" s="29">
        <f t="shared" si="9"/>
        <v>396</v>
      </c>
      <c r="BP6" s="29">
        <f t="shared" si="9"/>
        <v>404</v>
      </c>
      <c r="BQ6" s="29">
        <f t="shared" si="9"/>
        <v>411</v>
      </c>
      <c r="BR6" s="29">
        <f t="shared" si="9"/>
        <v>418</v>
      </c>
      <c r="BS6" s="29">
        <f t="shared" si="9"/>
        <v>425</v>
      </c>
      <c r="BT6" s="29">
        <f t="shared" si="9"/>
        <v>432</v>
      </c>
      <c r="BU6" s="29">
        <f t="shared" si="9"/>
        <v>442</v>
      </c>
      <c r="BV6" s="29">
        <f t="shared" si="9"/>
        <v>450</v>
      </c>
      <c r="BW6" s="29">
        <f t="shared" si="9"/>
        <v>457</v>
      </c>
      <c r="BX6" s="29">
        <f t="shared" si="9"/>
        <v>466</v>
      </c>
      <c r="BY6" s="29">
        <f t="shared" si="9"/>
        <v>474</v>
      </c>
      <c r="BZ6" s="29">
        <f t="shared" si="9"/>
        <v>482</v>
      </c>
      <c r="CA6" s="29">
        <f t="shared" si="9"/>
        <v>490</v>
      </c>
      <c r="CB6" s="29">
        <f t="shared" si="9"/>
        <v>498</v>
      </c>
      <c r="CC6" s="29">
        <f t="shared" si="9"/>
        <v>503</v>
      </c>
      <c r="CD6" s="29">
        <f t="shared" si="9"/>
        <v>506</v>
      </c>
      <c r="CE6" s="29">
        <f t="shared" si="9"/>
        <v>513</v>
      </c>
      <c r="CF6" s="29">
        <f t="shared" si="9"/>
        <v>521</v>
      </c>
      <c r="CG6" s="29">
        <f t="shared" si="9"/>
        <v>529</v>
      </c>
      <c r="CH6" s="29">
        <f t="shared" si="9"/>
        <v>537</v>
      </c>
      <c r="CI6" s="29">
        <f t="shared" si="9"/>
        <v>544</v>
      </c>
      <c r="CJ6" s="29">
        <f t="shared" si="9"/>
        <v>551</v>
      </c>
      <c r="CK6" s="29">
        <f t="shared" si="9"/>
        <v>558</v>
      </c>
      <c r="CL6" s="29">
        <f t="shared" si="9"/>
        <v>565</v>
      </c>
      <c r="CM6" s="29">
        <f t="shared" si="9"/>
        <v>575</v>
      </c>
      <c r="CN6" s="29">
        <f t="shared" si="9"/>
        <v>583</v>
      </c>
      <c r="CO6" s="29">
        <f t="shared" si="9"/>
        <v>590</v>
      </c>
      <c r="CP6" s="29">
        <f t="shared" si="9"/>
        <v>599</v>
      </c>
      <c r="CQ6" s="29">
        <f t="shared" si="9"/>
        <v>607</v>
      </c>
      <c r="CR6" s="29">
        <f t="shared" si="9"/>
        <v>615</v>
      </c>
      <c r="CS6" s="29">
        <f t="shared" si="9"/>
        <v>623</v>
      </c>
      <c r="CT6" s="29">
        <f t="shared" si="9"/>
        <v>631</v>
      </c>
      <c r="CU6" s="29">
        <f t="shared" ref="CU6:DJ6" si="10">SUM(CU2:CU5)+SUM(CU3:CU5)+3</f>
        <v>636</v>
      </c>
      <c r="CV6" s="29">
        <f t="shared" si="10"/>
        <v>639</v>
      </c>
      <c r="CW6" s="29">
        <f t="shared" si="10"/>
        <v>646</v>
      </c>
      <c r="CX6" s="29">
        <f t="shared" si="10"/>
        <v>654</v>
      </c>
      <c r="CY6" s="29">
        <f t="shared" si="10"/>
        <v>662</v>
      </c>
      <c r="CZ6" s="29">
        <f t="shared" si="10"/>
        <v>670</v>
      </c>
      <c r="DA6" s="29">
        <f t="shared" si="10"/>
        <v>677</v>
      </c>
      <c r="DB6" s="29">
        <f t="shared" si="10"/>
        <v>684</v>
      </c>
      <c r="DC6" s="29">
        <f t="shared" si="10"/>
        <v>691</v>
      </c>
      <c r="DD6" s="29">
        <f t="shared" si="10"/>
        <v>698</v>
      </c>
      <c r="DE6" s="29">
        <f t="shared" si="10"/>
        <v>708</v>
      </c>
      <c r="DF6" s="29">
        <f t="shared" si="10"/>
        <v>716</v>
      </c>
      <c r="DG6" s="29">
        <f t="shared" si="10"/>
        <v>723</v>
      </c>
      <c r="DH6" s="29">
        <f t="shared" si="10"/>
        <v>732</v>
      </c>
      <c r="DI6" s="29">
        <f t="shared" si="10"/>
        <v>740</v>
      </c>
      <c r="DJ6" s="29">
        <f t="shared" si="10"/>
        <v>748</v>
      </c>
    </row>
    <row r="7" spans="1:114">
      <c r="A7" s="2">
        <f t="shared" si="6"/>
        <v>30</v>
      </c>
      <c r="B7" s="2">
        <v>1</v>
      </c>
      <c r="C7" s="2">
        <v>1</v>
      </c>
      <c r="D7" s="2">
        <v>0.5</v>
      </c>
      <c r="E7" s="2">
        <v>0.5</v>
      </c>
      <c r="F7" s="2">
        <f>+B7*1.5</f>
        <v>1.5</v>
      </c>
      <c r="G7" s="3">
        <f>+(Mechlab!$H$4*$A7*G$2)/75</f>
        <v>20000</v>
      </c>
      <c r="H7" s="3">
        <f>+(Mechlab!$H$4*$A7*H$2)/75</f>
        <v>60000</v>
      </c>
      <c r="I7" s="3">
        <f>+(Mechlab!$H$4*$A7*I$2)/75</f>
        <v>80000</v>
      </c>
      <c r="J7" s="3">
        <f>+(Mechlab!$H$4*$A7*J$2)/75</f>
        <v>400000</v>
      </c>
      <c r="K7" s="3">
        <f>+(Mechlab!$H$4*$A7*K$2)/75</f>
        <v>5000</v>
      </c>
      <c r="L7" s="3">
        <f>+(Mechlab!$H$4*$A7*L$2)/75</f>
        <v>40000</v>
      </c>
      <c r="O7" s="9" t="s">
        <v>32</v>
      </c>
      <c r="P7" s="2">
        <f t="shared" ref="P7:AH7" si="11">+(P6-3)*2+9</f>
        <v>41</v>
      </c>
      <c r="Q7" s="2">
        <f t="shared" si="11"/>
        <v>55</v>
      </c>
      <c r="R7" s="2">
        <f t="shared" si="11"/>
        <v>69</v>
      </c>
      <c r="S7" s="2">
        <f t="shared" si="11"/>
        <v>89</v>
      </c>
      <c r="T7" s="2">
        <f t="shared" si="11"/>
        <v>105</v>
      </c>
      <c r="U7" s="2">
        <f t="shared" si="11"/>
        <v>119</v>
      </c>
      <c r="V7" s="2">
        <f t="shared" si="11"/>
        <v>137</v>
      </c>
      <c r="W7" s="2">
        <f t="shared" si="11"/>
        <v>153</v>
      </c>
      <c r="X7" s="2">
        <f t="shared" si="11"/>
        <v>169</v>
      </c>
      <c r="Y7" s="2">
        <f t="shared" si="11"/>
        <v>185</v>
      </c>
      <c r="Z7" s="2">
        <f t="shared" si="11"/>
        <v>201</v>
      </c>
      <c r="AA7" s="2">
        <f t="shared" si="11"/>
        <v>211</v>
      </c>
      <c r="AB7" s="2">
        <f t="shared" si="11"/>
        <v>217</v>
      </c>
      <c r="AC7" s="4">
        <f t="shared" si="11"/>
        <v>231</v>
      </c>
      <c r="AD7" s="2">
        <f t="shared" si="11"/>
        <v>247</v>
      </c>
      <c r="AE7" s="2">
        <f t="shared" si="11"/>
        <v>263</v>
      </c>
      <c r="AF7" s="2">
        <f t="shared" si="11"/>
        <v>279</v>
      </c>
      <c r="AG7" s="2">
        <f t="shared" si="11"/>
        <v>293</v>
      </c>
      <c r="AH7" s="2">
        <f t="shared" si="11"/>
        <v>307</v>
      </c>
      <c r="AI7" s="29">
        <f t="shared" ref="AI7:CT7" si="12">+(AI6-3)*2+9</f>
        <v>321</v>
      </c>
      <c r="AJ7" s="29">
        <f t="shared" si="12"/>
        <v>335</v>
      </c>
      <c r="AK7" s="29">
        <f t="shared" si="12"/>
        <v>355</v>
      </c>
      <c r="AL7" s="29">
        <f t="shared" si="12"/>
        <v>371</v>
      </c>
      <c r="AM7" s="29">
        <f t="shared" si="12"/>
        <v>385</v>
      </c>
      <c r="AN7" s="29">
        <f t="shared" si="12"/>
        <v>403</v>
      </c>
      <c r="AO7" s="29">
        <f t="shared" si="12"/>
        <v>419</v>
      </c>
      <c r="AP7" s="29">
        <f t="shared" si="12"/>
        <v>435</v>
      </c>
      <c r="AQ7" s="29">
        <f t="shared" si="12"/>
        <v>451</v>
      </c>
      <c r="AR7" s="29">
        <f t="shared" si="12"/>
        <v>467</v>
      </c>
      <c r="AS7" s="29">
        <f t="shared" si="12"/>
        <v>477</v>
      </c>
      <c r="AT7" s="29">
        <f t="shared" si="12"/>
        <v>483</v>
      </c>
      <c r="AU7" s="29">
        <f t="shared" si="12"/>
        <v>497</v>
      </c>
      <c r="AV7" s="29">
        <f t="shared" si="12"/>
        <v>513</v>
      </c>
      <c r="AW7" s="29">
        <f t="shared" si="12"/>
        <v>529</v>
      </c>
      <c r="AX7" s="29">
        <f t="shared" si="12"/>
        <v>545</v>
      </c>
      <c r="AY7" s="29">
        <f t="shared" si="12"/>
        <v>559</v>
      </c>
      <c r="AZ7" s="29">
        <f t="shared" si="12"/>
        <v>573</v>
      </c>
      <c r="BA7" s="29">
        <f t="shared" si="12"/>
        <v>587</v>
      </c>
      <c r="BB7" s="29">
        <f t="shared" si="12"/>
        <v>601</v>
      </c>
      <c r="BC7" s="29">
        <f t="shared" si="12"/>
        <v>621</v>
      </c>
      <c r="BD7" s="29">
        <f t="shared" si="12"/>
        <v>637</v>
      </c>
      <c r="BE7" s="29">
        <f t="shared" si="12"/>
        <v>651</v>
      </c>
      <c r="BF7" s="29">
        <f t="shared" si="12"/>
        <v>669</v>
      </c>
      <c r="BG7" s="29">
        <f t="shared" si="12"/>
        <v>685</v>
      </c>
      <c r="BH7" s="29">
        <f t="shared" si="12"/>
        <v>701</v>
      </c>
      <c r="BI7" s="29">
        <f t="shared" si="12"/>
        <v>717</v>
      </c>
      <c r="BJ7" s="29">
        <f t="shared" si="12"/>
        <v>733</v>
      </c>
      <c r="BK7" s="29">
        <f t="shared" si="12"/>
        <v>743</v>
      </c>
      <c r="BL7" s="29">
        <f t="shared" si="12"/>
        <v>749</v>
      </c>
      <c r="BM7" s="29">
        <f t="shared" si="12"/>
        <v>763</v>
      </c>
      <c r="BN7" s="29">
        <f t="shared" si="12"/>
        <v>779</v>
      </c>
      <c r="BO7" s="29">
        <f t="shared" si="12"/>
        <v>795</v>
      </c>
      <c r="BP7" s="29">
        <f t="shared" si="12"/>
        <v>811</v>
      </c>
      <c r="BQ7" s="29">
        <f t="shared" si="12"/>
        <v>825</v>
      </c>
      <c r="BR7" s="29">
        <f t="shared" si="12"/>
        <v>839</v>
      </c>
      <c r="BS7" s="29">
        <f t="shared" si="12"/>
        <v>853</v>
      </c>
      <c r="BT7" s="29">
        <f t="shared" si="12"/>
        <v>867</v>
      </c>
      <c r="BU7" s="29">
        <f t="shared" si="12"/>
        <v>887</v>
      </c>
      <c r="BV7" s="29">
        <f t="shared" si="12"/>
        <v>903</v>
      </c>
      <c r="BW7" s="29">
        <f t="shared" si="12"/>
        <v>917</v>
      </c>
      <c r="BX7" s="29">
        <f t="shared" si="12"/>
        <v>935</v>
      </c>
      <c r="BY7" s="29">
        <f t="shared" si="12"/>
        <v>951</v>
      </c>
      <c r="BZ7" s="29">
        <f t="shared" si="12"/>
        <v>967</v>
      </c>
      <c r="CA7" s="29">
        <f t="shared" si="12"/>
        <v>983</v>
      </c>
      <c r="CB7" s="29">
        <f t="shared" si="12"/>
        <v>999</v>
      </c>
      <c r="CC7" s="29">
        <f t="shared" si="12"/>
        <v>1009</v>
      </c>
      <c r="CD7" s="29">
        <f t="shared" si="12"/>
        <v>1015</v>
      </c>
      <c r="CE7" s="29">
        <f t="shared" si="12"/>
        <v>1029</v>
      </c>
      <c r="CF7" s="29">
        <f t="shared" si="12"/>
        <v>1045</v>
      </c>
      <c r="CG7" s="29">
        <f t="shared" si="12"/>
        <v>1061</v>
      </c>
      <c r="CH7" s="29">
        <f t="shared" si="12"/>
        <v>1077</v>
      </c>
      <c r="CI7" s="29">
        <f t="shared" si="12"/>
        <v>1091</v>
      </c>
      <c r="CJ7" s="29">
        <f t="shared" si="12"/>
        <v>1105</v>
      </c>
      <c r="CK7" s="29">
        <f t="shared" si="12"/>
        <v>1119</v>
      </c>
      <c r="CL7" s="29">
        <f t="shared" si="12"/>
        <v>1133</v>
      </c>
      <c r="CM7" s="29">
        <f t="shared" si="12"/>
        <v>1153</v>
      </c>
      <c r="CN7" s="29">
        <f t="shared" si="12"/>
        <v>1169</v>
      </c>
      <c r="CO7" s="29">
        <f t="shared" si="12"/>
        <v>1183</v>
      </c>
      <c r="CP7" s="29">
        <f t="shared" si="12"/>
        <v>1201</v>
      </c>
      <c r="CQ7" s="29">
        <f t="shared" si="12"/>
        <v>1217</v>
      </c>
      <c r="CR7" s="29">
        <f t="shared" si="12"/>
        <v>1233</v>
      </c>
      <c r="CS7" s="29">
        <f t="shared" si="12"/>
        <v>1249</v>
      </c>
      <c r="CT7" s="29">
        <f t="shared" si="12"/>
        <v>1265</v>
      </c>
      <c r="CU7" s="29">
        <f t="shared" ref="CU7:DJ7" si="13">+(CU6-3)*2+9</f>
        <v>1275</v>
      </c>
      <c r="CV7" s="29">
        <f t="shared" si="13"/>
        <v>1281</v>
      </c>
      <c r="CW7" s="29">
        <f t="shared" si="13"/>
        <v>1295</v>
      </c>
      <c r="CX7" s="29">
        <f t="shared" si="13"/>
        <v>1311</v>
      </c>
      <c r="CY7" s="29">
        <f t="shared" si="13"/>
        <v>1327</v>
      </c>
      <c r="CZ7" s="29">
        <f t="shared" si="13"/>
        <v>1343</v>
      </c>
      <c r="DA7" s="29">
        <f t="shared" si="13"/>
        <v>1357</v>
      </c>
      <c r="DB7" s="29">
        <f t="shared" si="13"/>
        <v>1371</v>
      </c>
      <c r="DC7" s="29">
        <f t="shared" si="13"/>
        <v>1385</v>
      </c>
      <c r="DD7" s="29">
        <f t="shared" si="13"/>
        <v>1399</v>
      </c>
      <c r="DE7" s="29">
        <f t="shared" si="13"/>
        <v>1419</v>
      </c>
      <c r="DF7" s="29">
        <f t="shared" si="13"/>
        <v>1435</v>
      </c>
      <c r="DG7" s="29">
        <f t="shared" si="13"/>
        <v>1449</v>
      </c>
      <c r="DH7" s="29">
        <f t="shared" si="13"/>
        <v>1467</v>
      </c>
      <c r="DI7" s="29">
        <f t="shared" si="13"/>
        <v>1483</v>
      </c>
      <c r="DJ7" s="29">
        <f t="shared" si="13"/>
        <v>1499</v>
      </c>
    </row>
    <row r="8" spans="1:114">
      <c r="A8" s="2">
        <f t="shared" si="6"/>
        <v>35</v>
      </c>
      <c r="B8" s="2">
        <v>1</v>
      </c>
      <c r="C8" s="2">
        <v>1</v>
      </c>
      <c r="D8" s="2">
        <v>0.5</v>
      </c>
      <c r="E8" s="2">
        <v>0.5</v>
      </c>
      <c r="F8" s="2">
        <f>+B8*1.5</f>
        <v>1.5</v>
      </c>
      <c r="G8" s="3">
        <f>+(Mechlab!$H$4*$A8*G$2)/75</f>
        <v>23333.333333333332</v>
      </c>
      <c r="H8" s="3">
        <f>+(Mechlab!$H$4*$A8*H$2)/75</f>
        <v>70000</v>
      </c>
      <c r="I8" s="3">
        <f>+(Mechlab!$H$4*$A8*I$2)/75</f>
        <v>93333.333333333328</v>
      </c>
      <c r="J8" s="3">
        <f>+(Mechlab!$H$4*$A8*J$2)/75</f>
        <v>466666.66666666669</v>
      </c>
      <c r="K8" s="3">
        <f>+(Mechlab!$H$4*$A8*K$2)/75</f>
        <v>5833.333333333333</v>
      </c>
      <c r="L8" s="3">
        <f>+(Mechlab!$H$4*$A8*L$2)/75</f>
        <v>46666.666666666664</v>
      </c>
    </row>
    <row r="9" spans="1:114">
      <c r="A9" s="2">
        <f t="shared" si="6"/>
        <v>40</v>
      </c>
      <c r="B9" s="2">
        <v>1</v>
      </c>
      <c r="C9" s="2">
        <v>1</v>
      </c>
      <c r="D9" s="2">
        <v>0.5</v>
      </c>
      <c r="E9" s="2">
        <v>0.5</v>
      </c>
      <c r="F9" s="2">
        <f>+B9*1.5</f>
        <v>1.5</v>
      </c>
      <c r="G9" s="3">
        <f>+(Mechlab!$H$4*$A9*G$2)/75</f>
        <v>26666.666666666668</v>
      </c>
      <c r="H9" s="3">
        <f>+(Mechlab!$H$4*$A9*H$2)/75</f>
        <v>80000</v>
      </c>
      <c r="I9" s="3">
        <f>+(Mechlab!$H$4*$A9*I$2)/75</f>
        <v>106666.66666666667</v>
      </c>
      <c r="J9" s="3">
        <f>+(Mechlab!$H$4*$A9*J$2)/75</f>
        <v>533333.33333333337</v>
      </c>
      <c r="K9" s="3">
        <f>+(Mechlab!$H$4*$A9*K$2)/75</f>
        <v>6666.666666666667</v>
      </c>
      <c r="L9" s="3">
        <f>+(Mechlab!$H$4*$A9*L$2)/75</f>
        <v>53333.333333333336</v>
      </c>
    </row>
    <row r="10" spans="1:114">
      <c r="A10" s="2">
        <f t="shared" si="6"/>
        <v>45</v>
      </c>
      <c r="B10" s="2">
        <v>1</v>
      </c>
      <c r="C10" s="2">
        <v>1</v>
      </c>
      <c r="D10" s="2">
        <v>0.5</v>
      </c>
      <c r="E10" s="2">
        <v>0.5</v>
      </c>
      <c r="F10" s="2">
        <f>+B10*1.5</f>
        <v>1.5</v>
      </c>
      <c r="G10" s="3">
        <f>+(Mechlab!$H$4*$A10*G$2)/75</f>
        <v>30000</v>
      </c>
      <c r="H10" s="3">
        <f>+(Mechlab!$H$4*$A10*H$2)/75</f>
        <v>90000</v>
      </c>
      <c r="I10" s="3">
        <f>+(Mechlab!$H$4*$A10*I$2)/75</f>
        <v>120000</v>
      </c>
      <c r="J10" s="3">
        <f>+(Mechlab!$H$4*$A10*J$2)/75</f>
        <v>600000</v>
      </c>
      <c r="K10" s="3">
        <f>+(Mechlab!$H$4*$A10*K$2)/75</f>
        <v>7500</v>
      </c>
      <c r="L10" s="3">
        <f>+(Mechlab!$H$4*$A10*L$2)/75</f>
        <v>60000</v>
      </c>
    </row>
    <row r="11" spans="1:114">
      <c r="A11" s="2">
        <f t="shared" si="6"/>
        <v>50</v>
      </c>
      <c r="B11" s="2">
        <v>1.5</v>
      </c>
      <c r="C11" s="2">
        <v>1.5</v>
      </c>
      <c r="D11" s="2">
        <v>1</v>
      </c>
      <c r="E11" s="2">
        <v>0.5</v>
      </c>
      <c r="F11" s="2">
        <v>2.5</v>
      </c>
      <c r="G11" s="3">
        <f>+(Mechlab!$H$4*$A11*G$2)/75</f>
        <v>33333.333333333336</v>
      </c>
      <c r="H11" s="3">
        <f>+(Mechlab!$H$4*$A11*H$2)/75</f>
        <v>100000</v>
      </c>
      <c r="I11" s="3">
        <f>+(Mechlab!$H$4*$A11*I$2)/75</f>
        <v>133333.33333333334</v>
      </c>
      <c r="J11" s="3">
        <f>+(Mechlab!$H$4*$A11*J$2)/75</f>
        <v>666666.66666666663</v>
      </c>
      <c r="K11" s="3">
        <f>+(Mechlab!$H$4*$A11*K$2)/75</f>
        <v>8333.3333333333339</v>
      </c>
      <c r="L11" s="3">
        <f>+(Mechlab!$H$4*$A11*L$2)/75</f>
        <v>66666.666666666672</v>
      </c>
    </row>
    <row r="12" spans="1:114">
      <c r="A12" s="2">
        <f t="shared" si="6"/>
        <v>55</v>
      </c>
      <c r="B12" s="2">
        <v>1.5</v>
      </c>
      <c r="C12" s="2">
        <v>1.5</v>
      </c>
      <c r="D12" s="2">
        <v>1</v>
      </c>
      <c r="E12" s="2">
        <v>0.5</v>
      </c>
      <c r="F12" s="2">
        <v>2.5</v>
      </c>
      <c r="G12" s="3">
        <f>+(Mechlab!$H$4*$A12*G$2)/75</f>
        <v>36666.666666666664</v>
      </c>
      <c r="H12" s="3">
        <f>+(Mechlab!$H$4*$A12*H$2)/75</f>
        <v>110000</v>
      </c>
      <c r="I12" s="3">
        <f>+(Mechlab!$H$4*$A12*I$2)/75</f>
        <v>146666.66666666666</v>
      </c>
      <c r="J12" s="3">
        <f>+(Mechlab!$H$4*$A12*J$2)/75</f>
        <v>733333.33333333337</v>
      </c>
      <c r="K12" s="3">
        <f>+(Mechlab!$H$4*$A12*K$2)/75</f>
        <v>9166.6666666666661</v>
      </c>
      <c r="L12" s="3">
        <f>+(Mechlab!$H$4*$A12*L$2)/75</f>
        <v>73333.333333333328</v>
      </c>
    </row>
    <row r="13" spans="1:114">
      <c r="A13" s="2">
        <f t="shared" si="6"/>
        <v>60</v>
      </c>
      <c r="B13" s="2">
        <v>1.5</v>
      </c>
      <c r="C13" s="2">
        <v>1.5</v>
      </c>
      <c r="D13" s="2">
        <v>1</v>
      </c>
      <c r="E13" s="2">
        <v>0.5</v>
      </c>
      <c r="F13" s="2">
        <v>2.5</v>
      </c>
      <c r="G13" s="3">
        <f>+(Mechlab!$H$4*$A13*G$2)/75</f>
        <v>40000</v>
      </c>
      <c r="H13" s="3">
        <f>+(Mechlab!$H$4*$A13*H$2)/75</f>
        <v>120000</v>
      </c>
      <c r="I13" s="3">
        <f>+(Mechlab!$H$4*$A13*I$2)/75</f>
        <v>160000</v>
      </c>
      <c r="J13" s="3">
        <f>+(Mechlab!$H$4*$A13*J$2)/75</f>
        <v>800000</v>
      </c>
      <c r="K13" s="3">
        <f>+(Mechlab!$H$4*$A13*K$2)/75</f>
        <v>10000</v>
      </c>
      <c r="L13" s="3">
        <f>+(Mechlab!$H$4*$A13*L$2)/75</f>
        <v>80000</v>
      </c>
    </row>
    <row r="14" spans="1:114">
      <c r="A14" s="2">
        <f t="shared" si="6"/>
        <v>65</v>
      </c>
      <c r="B14" s="2">
        <v>2</v>
      </c>
      <c r="C14" s="2">
        <v>1.5</v>
      </c>
      <c r="D14" s="2">
        <v>1</v>
      </c>
      <c r="E14" s="2">
        <v>1</v>
      </c>
      <c r="F14" s="2">
        <f>+B14*1.5</f>
        <v>3</v>
      </c>
      <c r="G14" s="3">
        <f>+(Mechlab!$H$4*$A14*G$2)/75</f>
        <v>43333.333333333336</v>
      </c>
      <c r="H14" s="3">
        <f>+(Mechlab!$H$4*$A14*H$2)/75</f>
        <v>130000</v>
      </c>
      <c r="I14" s="3">
        <f>+(Mechlab!$H$4*$A14*I$2)/75</f>
        <v>173333.33333333334</v>
      </c>
      <c r="J14" s="3">
        <f>+(Mechlab!$H$4*$A14*J$2)/75</f>
        <v>866666.66666666663</v>
      </c>
      <c r="K14" s="3">
        <f>+(Mechlab!$H$4*$A14*K$2)/75</f>
        <v>10833.333333333334</v>
      </c>
      <c r="L14" s="3">
        <f>+(Mechlab!$H$4*$A14*L$2)/75</f>
        <v>86666.666666666672</v>
      </c>
    </row>
    <row r="15" spans="1:114">
      <c r="A15" s="2">
        <f t="shared" si="6"/>
        <v>70</v>
      </c>
      <c r="B15" s="2">
        <v>2</v>
      </c>
      <c r="C15" s="2">
        <v>1.5</v>
      </c>
      <c r="D15" s="2">
        <v>1</v>
      </c>
      <c r="E15" s="2">
        <v>1</v>
      </c>
      <c r="F15" s="2">
        <f>+B15*1.5</f>
        <v>3</v>
      </c>
      <c r="G15" s="3">
        <f>+(Mechlab!$H$4*$A15*G$2)/75</f>
        <v>46666.666666666664</v>
      </c>
      <c r="H15" s="3">
        <f>+(Mechlab!$H$4*$A15*H$2)/75</f>
        <v>140000</v>
      </c>
      <c r="I15" s="3">
        <f>+(Mechlab!$H$4*$A15*I$2)/75</f>
        <v>186666.66666666666</v>
      </c>
      <c r="J15" s="3">
        <f>+(Mechlab!$H$4*$A15*J$2)/75</f>
        <v>933333.33333333337</v>
      </c>
      <c r="K15" s="3">
        <f>+(Mechlab!$H$4*$A15*K$2)/75</f>
        <v>11666.666666666666</v>
      </c>
      <c r="L15" s="3">
        <f>+(Mechlab!$H$4*$A15*L$2)/75</f>
        <v>93333.333333333328</v>
      </c>
    </row>
    <row r="16" spans="1:114">
      <c r="A16" s="2">
        <f t="shared" si="6"/>
        <v>75</v>
      </c>
      <c r="B16" s="2">
        <v>2</v>
      </c>
      <c r="C16" s="2">
        <v>1.5</v>
      </c>
      <c r="D16" s="2">
        <v>1</v>
      </c>
      <c r="E16" s="2">
        <v>1</v>
      </c>
      <c r="F16" s="2">
        <f>+B16*1.5</f>
        <v>3</v>
      </c>
      <c r="G16" s="3">
        <f>+(Mechlab!$H$4*$A16*G$2)/75</f>
        <v>50000</v>
      </c>
      <c r="H16" s="3">
        <f>+(Mechlab!$H$4*$A16*H$2)/75</f>
        <v>150000</v>
      </c>
      <c r="I16" s="3">
        <f>+(Mechlab!$H$4*$A16*I$2)/75</f>
        <v>200000</v>
      </c>
      <c r="J16" s="3">
        <f>+(Mechlab!$H$4*$A16*J$2)/75</f>
        <v>1000000</v>
      </c>
      <c r="K16" s="3">
        <f>+(Mechlab!$H$4*$A16*K$2)/75</f>
        <v>12500</v>
      </c>
      <c r="L16" s="3">
        <f>+(Mechlab!$H$4*$A16*L$2)/75</f>
        <v>100000</v>
      </c>
    </row>
    <row r="17" spans="1:12">
      <c r="A17" s="2">
        <f t="shared" si="6"/>
        <v>80</v>
      </c>
      <c r="B17" s="2">
        <v>2.5</v>
      </c>
      <c r="C17" s="2">
        <v>2</v>
      </c>
      <c r="D17" s="2">
        <v>1.5</v>
      </c>
      <c r="E17" s="2">
        <v>1</v>
      </c>
      <c r="F17" s="2">
        <v>4</v>
      </c>
      <c r="G17" s="3">
        <f>+(Mechlab!$H$4*$A17*G$2)/75</f>
        <v>53333.333333333336</v>
      </c>
      <c r="H17" s="3">
        <f>+(Mechlab!$H$4*$A17*H$2)/75</f>
        <v>160000</v>
      </c>
      <c r="I17" s="3">
        <f>+(Mechlab!$H$4*$A17*I$2)/75</f>
        <v>213333.33333333334</v>
      </c>
      <c r="J17" s="3">
        <f>+(Mechlab!$H$4*$A17*J$2)/75</f>
        <v>1066666.6666666667</v>
      </c>
      <c r="K17" s="3">
        <f>+(Mechlab!$H$4*$A17*K$2)/75</f>
        <v>13333.333333333334</v>
      </c>
      <c r="L17" s="3">
        <f>+(Mechlab!$H$4*$A17*L$2)/75</f>
        <v>106666.66666666667</v>
      </c>
    </row>
    <row r="18" spans="1:12">
      <c r="A18" s="2">
        <f t="shared" si="6"/>
        <v>85</v>
      </c>
      <c r="B18" s="2">
        <v>2.5</v>
      </c>
      <c r="C18" s="2">
        <v>2</v>
      </c>
      <c r="D18" s="2">
        <v>1.5</v>
      </c>
      <c r="E18" s="2">
        <v>1</v>
      </c>
      <c r="F18" s="2">
        <v>4</v>
      </c>
      <c r="G18" s="3">
        <f>+(Mechlab!$H$4*$A18*G$2)/75</f>
        <v>56666.666666666664</v>
      </c>
      <c r="H18" s="3">
        <f>+(Mechlab!$H$4*$A18*H$2)/75</f>
        <v>170000</v>
      </c>
      <c r="I18" s="3">
        <f>+(Mechlab!$H$4*$A18*I$2)/75</f>
        <v>226666.66666666666</v>
      </c>
      <c r="J18" s="3">
        <f>+(Mechlab!$H$4*$A18*J$2)/75</f>
        <v>1133333.3333333333</v>
      </c>
      <c r="K18" s="3">
        <f>+(Mechlab!$H$4*$A18*K$2)/75</f>
        <v>14166.666666666666</v>
      </c>
      <c r="L18" s="3">
        <f>+(Mechlab!$H$4*$A18*L$2)/75</f>
        <v>113333.33333333333</v>
      </c>
    </row>
    <row r="19" spans="1:12">
      <c r="A19" s="2">
        <f t="shared" si="6"/>
        <v>90</v>
      </c>
      <c r="B19" s="2">
        <v>3</v>
      </c>
      <c r="C19" s="2">
        <v>2.5</v>
      </c>
      <c r="D19" s="2">
        <v>1.5</v>
      </c>
      <c r="E19" s="2">
        <v>1</v>
      </c>
      <c r="F19" s="2">
        <v>4.5</v>
      </c>
      <c r="G19" s="3">
        <f>+(Mechlab!$H$4*$A19*G$2)/75</f>
        <v>60000</v>
      </c>
      <c r="H19" s="3">
        <f>+(Mechlab!$H$4*$A19*H$2)/75</f>
        <v>180000</v>
      </c>
      <c r="I19" s="3">
        <f>+(Mechlab!$H$4*$A19*I$2)/75</f>
        <v>240000</v>
      </c>
      <c r="J19" s="3">
        <f>+(Mechlab!$H$4*$A19*J$2)/75</f>
        <v>1200000</v>
      </c>
      <c r="K19" s="3">
        <f>+(Mechlab!$H$4*$A19*K$2)/75</f>
        <v>15000</v>
      </c>
      <c r="L19" s="3">
        <f>+(Mechlab!$H$4*$A19*L$2)/75</f>
        <v>120000</v>
      </c>
    </row>
    <row r="20" spans="1:12">
      <c r="A20" s="2">
        <f t="shared" si="6"/>
        <v>95</v>
      </c>
      <c r="B20" s="2">
        <v>3</v>
      </c>
      <c r="C20" s="2">
        <v>2.5</v>
      </c>
      <c r="D20" s="2">
        <v>1.5</v>
      </c>
      <c r="E20" s="2">
        <v>1</v>
      </c>
      <c r="F20" s="2">
        <v>4.5</v>
      </c>
      <c r="G20" s="3">
        <f>+(Mechlab!$H$4*$A20*G$2)/75</f>
        <v>63333.333333333336</v>
      </c>
      <c r="H20" s="3">
        <f>+(Mechlab!$H$4*$A20*H$2)/75</f>
        <v>190000</v>
      </c>
      <c r="I20" s="3">
        <f>+(Mechlab!$H$4*$A20*I$2)/75</f>
        <v>253333.33333333334</v>
      </c>
      <c r="J20" s="3">
        <f>+(Mechlab!$H$4*$A20*J$2)/75</f>
        <v>1266666.6666666667</v>
      </c>
      <c r="K20" s="3">
        <f>+(Mechlab!$H$4*$A20*K$2)/75</f>
        <v>15833.333333333334</v>
      </c>
      <c r="L20" s="3">
        <f>+(Mechlab!$H$4*$A20*L$2)/75</f>
        <v>126666.66666666667</v>
      </c>
    </row>
    <row r="21" spans="1:12">
      <c r="A21" s="2">
        <f t="shared" si="6"/>
        <v>100</v>
      </c>
      <c r="B21" s="2">
        <v>3</v>
      </c>
      <c r="C21" s="2">
        <v>2.5</v>
      </c>
      <c r="D21" s="2">
        <v>1.5</v>
      </c>
      <c r="E21" s="2">
        <v>1</v>
      </c>
      <c r="F21" s="2">
        <v>4.5</v>
      </c>
      <c r="G21" s="3">
        <f>+(Mechlab!$H$4*$A21*G$2)/75</f>
        <v>66666.666666666672</v>
      </c>
      <c r="H21" s="3">
        <f>+(Mechlab!$H$4*$A21*H$2)/75</f>
        <v>200000</v>
      </c>
      <c r="I21" s="3">
        <f>+(Mechlab!$H$4*$A21*I$2)/75</f>
        <v>266666.66666666669</v>
      </c>
      <c r="J21" s="3">
        <f>+(Mechlab!$H$4*$A21*J$2)/75</f>
        <v>1333333.3333333333</v>
      </c>
      <c r="K21" s="3">
        <f>+(Mechlab!$H$4*$A21*K$2)/75</f>
        <v>16666.666666666668</v>
      </c>
      <c r="L21" s="3">
        <f>+(Mechlab!$H$4*$A21*L$2)/75</f>
        <v>133333.33333333334</v>
      </c>
    </row>
    <row r="22" spans="1:12">
      <c r="A22" s="2">
        <f t="shared" si="6"/>
        <v>105</v>
      </c>
      <c r="B22" s="2">
        <v>3.5</v>
      </c>
      <c r="C22" s="2">
        <v>3</v>
      </c>
      <c r="D22" s="2">
        <v>2</v>
      </c>
      <c r="E22" s="2">
        <v>1.5</v>
      </c>
      <c r="F22" s="2">
        <v>5.5</v>
      </c>
      <c r="G22" s="3">
        <f>+(Mechlab!$H$4*$A22*G$2)/75</f>
        <v>70000</v>
      </c>
      <c r="H22" s="3">
        <f>+(Mechlab!$H$4*$A22*H$2)/75</f>
        <v>210000</v>
      </c>
      <c r="I22" s="3">
        <f>+(Mechlab!$H$4*$A22*I$2)/75</f>
        <v>280000</v>
      </c>
      <c r="J22" s="3">
        <f>+(Mechlab!$H$4*$A22*J$2)/75</f>
        <v>1400000</v>
      </c>
      <c r="K22" s="3">
        <f>+(Mechlab!$H$4*$A22*K$2)/75</f>
        <v>17500</v>
      </c>
      <c r="L22" s="3">
        <f>+(Mechlab!$H$4*$A22*L$2)/75</f>
        <v>140000</v>
      </c>
    </row>
    <row r="23" spans="1:12">
      <c r="A23" s="2">
        <f t="shared" si="6"/>
        <v>110</v>
      </c>
      <c r="B23" s="2">
        <v>3.5</v>
      </c>
      <c r="C23" s="2">
        <v>3</v>
      </c>
      <c r="D23" s="2">
        <v>2</v>
      </c>
      <c r="E23" s="2">
        <v>1.5</v>
      </c>
      <c r="F23" s="2">
        <v>5.5</v>
      </c>
      <c r="G23" s="3">
        <f>+(Mechlab!$H$4*$A23*G$2)/75</f>
        <v>73333.333333333328</v>
      </c>
      <c r="H23" s="3">
        <f>+(Mechlab!$H$4*$A23*H$2)/75</f>
        <v>220000</v>
      </c>
      <c r="I23" s="3">
        <f>+(Mechlab!$H$4*$A23*I$2)/75</f>
        <v>293333.33333333331</v>
      </c>
      <c r="J23" s="3">
        <f>+(Mechlab!$H$4*$A23*J$2)/75</f>
        <v>1466666.6666666667</v>
      </c>
      <c r="K23" s="3">
        <f>+(Mechlab!$H$4*$A23*K$2)/75</f>
        <v>18333.333333333332</v>
      </c>
      <c r="L23" s="3">
        <f>+(Mechlab!$H$4*$A23*L$2)/75</f>
        <v>146666.66666666666</v>
      </c>
    </row>
    <row r="24" spans="1:12">
      <c r="A24" s="2">
        <f t="shared" si="6"/>
        <v>115</v>
      </c>
      <c r="B24" s="2">
        <v>4</v>
      </c>
      <c r="C24" s="2">
        <v>3</v>
      </c>
      <c r="D24" s="2">
        <v>2</v>
      </c>
      <c r="E24" s="2">
        <v>1.5</v>
      </c>
      <c r="F24" s="2">
        <v>6</v>
      </c>
      <c r="G24" s="3">
        <f>+(Mechlab!$H$4*$A24*G$2)/75</f>
        <v>76666.666666666672</v>
      </c>
      <c r="H24" s="3">
        <f>+(Mechlab!$H$4*$A24*H$2)/75</f>
        <v>230000</v>
      </c>
      <c r="I24" s="3">
        <f>+(Mechlab!$H$4*$A24*I$2)/75</f>
        <v>306666.66666666669</v>
      </c>
      <c r="J24" s="3">
        <f>+(Mechlab!$H$4*$A24*J$2)/75</f>
        <v>1533333.3333333333</v>
      </c>
      <c r="K24" s="3">
        <f>+(Mechlab!$H$4*$A24*K$2)/75</f>
        <v>19166.666666666668</v>
      </c>
      <c r="L24" s="3">
        <f>+(Mechlab!$H$4*$A24*L$2)/75</f>
        <v>153333.33333333334</v>
      </c>
    </row>
    <row r="25" spans="1:12">
      <c r="A25" s="2">
        <f t="shared" si="6"/>
        <v>120</v>
      </c>
      <c r="B25" s="2">
        <v>4</v>
      </c>
      <c r="C25" s="2">
        <v>3</v>
      </c>
      <c r="D25" s="2">
        <v>2</v>
      </c>
      <c r="E25" s="2">
        <v>1.5</v>
      </c>
      <c r="F25" s="2">
        <v>6</v>
      </c>
      <c r="G25" s="3">
        <f>+(Mechlab!$H$4*$A25*G$2)/75</f>
        <v>80000</v>
      </c>
      <c r="H25" s="3">
        <f>+(Mechlab!$H$4*$A25*H$2)/75</f>
        <v>240000</v>
      </c>
      <c r="I25" s="3">
        <f>+(Mechlab!$H$4*$A25*I$2)/75</f>
        <v>320000</v>
      </c>
      <c r="J25" s="3">
        <f>+(Mechlab!$H$4*$A25*J$2)/75</f>
        <v>1600000</v>
      </c>
      <c r="K25" s="3">
        <f>+(Mechlab!$H$4*$A25*K$2)/75</f>
        <v>20000</v>
      </c>
      <c r="L25" s="3">
        <f>+(Mechlab!$H$4*$A25*L$2)/75</f>
        <v>160000</v>
      </c>
    </row>
    <row r="26" spans="1:12">
      <c r="A26" s="2">
        <f t="shared" si="6"/>
        <v>125</v>
      </c>
      <c r="B26" s="2">
        <v>4</v>
      </c>
      <c r="C26" s="2">
        <v>3</v>
      </c>
      <c r="D26" s="2">
        <v>2</v>
      </c>
      <c r="E26" s="2">
        <v>1.5</v>
      </c>
      <c r="F26" s="2">
        <v>6</v>
      </c>
      <c r="G26" s="3">
        <f>+(Mechlab!$H$4*$A26*G$2)/75</f>
        <v>83333.333333333328</v>
      </c>
      <c r="H26" s="3">
        <f>+(Mechlab!$H$4*$A26*H$2)/75</f>
        <v>250000</v>
      </c>
      <c r="I26" s="3">
        <f>+(Mechlab!$H$4*$A26*I$2)/75</f>
        <v>333333.33333333331</v>
      </c>
      <c r="J26" s="3">
        <f>+(Mechlab!$H$4*$A26*J$2)/75</f>
        <v>1666666.6666666667</v>
      </c>
      <c r="K26" s="3">
        <f>+(Mechlab!$H$4*$A26*K$2)/75</f>
        <v>20833.333333333332</v>
      </c>
      <c r="L26" s="3">
        <f>+(Mechlab!$H$4*$A26*L$2)/75</f>
        <v>166666.66666666666</v>
      </c>
    </row>
    <row r="27" spans="1:12">
      <c r="A27" s="2">
        <f t="shared" si="6"/>
        <v>130</v>
      </c>
      <c r="B27" s="2">
        <v>4.5</v>
      </c>
      <c r="C27" s="2">
        <v>3.5</v>
      </c>
      <c r="D27" s="2">
        <v>2.5</v>
      </c>
      <c r="E27" s="2">
        <v>1.5</v>
      </c>
      <c r="F27" s="2">
        <v>7</v>
      </c>
      <c r="G27" s="3">
        <f>+(Mechlab!$H$4*$A27*G$2)/75</f>
        <v>86666.666666666672</v>
      </c>
      <c r="H27" s="3">
        <f>+(Mechlab!$H$4*$A27*H$2)/75</f>
        <v>260000</v>
      </c>
      <c r="I27" s="3">
        <f>+(Mechlab!$H$4*$A27*I$2)/75</f>
        <v>346666.66666666669</v>
      </c>
      <c r="J27" s="3">
        <f>+(Mechlab!$H$4*$A27*J$2)/75</f>
        <v>1733333.3333333333</v>
      </c>
      <c r="K27" s="3">
        <f>+(Mechlab!$H$4*$A27*K$2)/75</f>
        <v>21666.666666666668</v>
      </c>
      <c r="L27" s="3">
        <f>+(Mechlab!$H$4*$A27*L$2)/75</f>
        <v>173333.33333333334</v>
      </c>
    </row>
    <row r="28" spans="1:12">
      <c r="A28" s="2">
        <f t="shared" si="6"/>
        <v>135</v>
      </c>
      <c r="B28" s="2">
        <v>4.5</v>
      </c>
      <c r="C28" s="2">
        <v>3.5</v>
      </c>
      <c r="D28" s="2">
        <v>2.5</v>
      </c>
      <c r="E28" s="2">
        <v>1.5</v>
      </c>
      <c r="F28" s="2">
        <v>7</v>
      </c>
      <c r="G28" s="3">
        <f>+(Mechlab!$H$4*$A28*G$2)/75</f>
        <v>90000</v>
      </c>
      <c r="H28" s="3">
        <f>+(Mechlab!$H$4*$A28*H$2)/75</f>
        <v>270000</v>
      </c>
      <c r="I28" s="3">
        <f>+(Mechlab!$H$4*$A28*I$2)/75</f>
        <v>360000</v>
      </c>
      <c r="J28" s="3">
        <f>+(Mechlab!$H$4*$A28*J$2)/75</f>
        <v>1800000</v>
      </c>
      <c r="K28" s="3">
        <f>+(Mechlab!$H$4*$A28*K$2)/75</f>
        <v>22500</v>
      </c>
      <c r="L28" s="3">
        <f>+(Mechlab!$H$4*$A28*L$2)/75</f>
        <v>180000</v>
      </c>
    </row>
    <row r="29" spans="1:12">
      <c r="A29" s="2">
        <f t="shared" si="6"/>
        <v>140</v>
      </c>
      <c r="B29" s="2">
        <v>5</v>
      </c>
      <c r="C29" s="2">
        <v>4</v>
      </c>
      <c r="D29" s="2">
        <v>2.5</v>
      </c>
      <c r="E29" s="2">
        <v>2</v>
      </c>
      <c r="F29" s="2">
        <v>7.5</v>
      </c>
      <c r="G29" s="3">
        <f>+(Mechlab!$H$4*$A29*G$2)/75</f>
        <v>93333.333333333328</v>
      </c>
      <c r="H29" s="3">
        <f>+(Mechlab!$H$4*$A29*H$2)/75</f>
        <v>280000</v>
      </c>
      <c r="I29" s="3">
        <f>+(Mechlab!$H$4*$A29*I$2)/75</f>
        <v>373333.33333333331</v>
      </c>
      <c r="J29" s="3">
        <f>+(Mechlab!$H$4*$A29*J$2)/75</f>
        <v>1866666.6666666667</v>
      </c>
      <c r="K29" s="3">
        <f>+(Mechlab!$H$4*$A29*K$2)/75</f>
        <v>23333.333333333332</v>
      </c>
      <c r="L29" s="3">
        <f>+(Mechlab!$H$4*$A29*L$2)/75</f>
        <v>186666.66666666666</v>
      </c>
    </row>
    <row r="30" spans="1:12">
      <c r="A30" s="2">
        <f t="shared" si="6"/>
        <v>145</v>
      </c>
      <c r="B30" s="2">
        <v>5</v>
      </c>
      <c r="C30" s="2">
        <v>4</v>
      </c>
      <c r="D30" s="2">
        <v>2.5</v>
      </c>
      <c r="E30" s="2">
        <v>2</v>
      </c>
      <c r="F30" s="2">
        <v>7.5</v>
      </c>
      <c r="G30" s="3">
        <f>+(Mechlab!$H$4*$A30*G$2)/75</f>
        <v>96666.666666666672</v>
      </c>
      <c r="H30" s="3">
        <f>+(Mechlab!$H$4*$A30*H$2)/75</f>
        <v>290000</v>
      </c>
      <c r="I30" s="3">
        <f>+(Mechlab!$H$4*$A30*I$2)/75</f>
        <v>386666.66666666669</v>
      </c>
      <c r="J30" s="3">
        <f>+(Mechlab!$H$4*$A30*J$2)/75</f>
        <v>1933333.3333333333</v>
      </c>
      <c r="K30" s="3">
        <f>+(Mechlab!$H$4*$A30*K$2)/75</f>
        <v>24166.666666666668</v>
      </c>
      <c r="L30" s="3">
        <f>+(Mechlab!$H$4*$A30*L$2)/75</f>
        <v>193333.33333333334</v>
      </c>
    </row>
    <row r="31" spans="1:12">
      <c r="A31" s="2">
        <f t="shared" si="6"/>
        <v>150</v>
      </c>
      <c r="B31" s="2">
        <v>5.5</v>
      </c>
      <c r="C31" s="2">
        <v>4.5</v>
      </c>
      <c r="D31" s="2">
        <v>3</v>
      </c>
      <c r="E31" s="2">
        <v>2</v>
      </c>
      <c r="F31" s="2">
        <v>8.5</v>
      </c>
      <c r="G31" s="3">
        <f>+(Mechlab!$H$4*$A31*G$2)/75</f>
        <v>100000</v>
      </c>
      <c r="H31" s="3">
        <f>+(Mechlab!$H$4*$A31*H$2)/75</f>
        <v>300000</v>
      </c>
      <c r="I31" s="3">
        <f>+(Mechlab!$H$4*$A31*I$2)/75</f>
        <v>400000</v>
      </c>
      <c r="J31" s="3">
        <f>+(Mechlab!$H$4*$A31*J$2)/75</f>
        <v>2000000</v>
      </c>
      <c r="K31" s="3">
        <f>+(Mechlab!$H$4*$A31*K$2)/75</f>
        <v>25000</v>
      </c>
      <c r="L31" s="3">
        <f>+(Mechlab!$H$4*$A31*L$2)/75</f>
        <v>200000</v>
      </c>
    </row>
    <row r="32" spans="1:12">
      <c r="A32" s="2">
        <f t="shared" si="6"/>
        <v>155</v>
      </c>
      <c r="B32" s="2">
        <v>5.5</v>
      </c>
      <c r="C32" s="2">
        <v>4.5</v>
      </c>
      <c r="D32" s="2">
        <v>3</v>
      </c>
      <c r="E32" s="2">
        <v>2</v>
      </c>
      <c r="F32" s="2">
        <v>8.5</v>
      </c>
      <c r="G32" s="3">
        <f>+(Mechlab!$H$4*$A32*G$2)/75</f>
        <v>103333.33333333333</v>
      </c>
      <c r="H32" s="3">
        <f>+(Mechlab!$H$4*$A32*H$2)/75</f>
        <v>310000</v>
      </c>
      <c r="I32" s="3">
        <f>+(Mechlab!$H$4*$A32*I$2)/75</f>
        <v>413333.33333333331</v>
      </c>
      <c r="J32" s="3">
        <f>+(Mechlab!$H$4*$A32*J$2)/75</f>
        <v>2066666.6666666667</v>
      </c>
      <c r="K32" s="3">
        <f>+(Mechlab!$H$4*$A32*K$2)/75</f>
        <v>25833.333333333332</v>
      </c>
      <c r="L32" s="3">
        <f>+(Mechlab!$H$4*$A32*L$2)/75</f>
        <v>206666.66666666666</v>
      </c>
    </row>
    <row r="33" spans="1:12">
      <c r="A33" s="2">
        <f t="shared" si="6"/>
        <v>160</v>
      </c>
      <c r="B33" s="2">
        <v>6</v>
      </c>
      <c r="C33" s="2">
        <v>4.5</v>
      </c>
      <c r="D33" s="2">
        <v>3</v>
      </c>
      <c r="E33" s="2">
        <v>2</v>
      </c>
      <c r="F33" s="2">
        <f>+B33*1.5</f>
        <v>9</v>
      </c>
      <c r="G33" s="3">
        <f>+(Mechlab!$H$4*$A33*G$2)/75</f>
        <v>106666.66666666667</v>
      </c>
      <c r="H33" s="3">
        <f>+(Mechlab!$H$4*$A33*H$2)/75</f>
        <v>320000</v>
      </c>
      <c r="I33" s="3">
        <f>+(Mechlab!$H$4*$A33*I$2)/75</f>
        <v>426666.66666666669</v>
      </c>
      <c r="J33" s="3">
        <f>+(Mechlab!$H$4*$A33*J$2)/75</f>
        <v>2133333.3333333335</v>
      </c>
      <c r="K33" s="3">
        <f>+(Mechlab!$H$4*$A33*K$2)/75</f>
        <v>26666.666666666668</v>
      </c>
      <c r="L33" s="3">
        <f>+(Mechlab!$H$4*$A33*L$2)/75</f>
        <v>213333.33333333334</v>
      </c>
    </row>
    <row r="34" spans="1:12">
      <c r="A34" s="2">
        <f t="shared" si="6"/>
        <v>165</v>
      </c>
      <c r="B34" s="2">
        <v>6</v>
      </c>
      <c r="C34" s="2">
        <v>4.5</v>
      </c>
      <c r="D34" s="2">
        <v>3</v>
      </c>
      <c r="E34" s="2">
        <v>2</v>
      </c>
      <c r="F34" s="2">
        <f>+B34*1.5</f>
        <v>9</v>
      </c>
      <c r="G34" s="3">
        <f>+(Mechlab!$H$4*$A34*G$2)/75</f>
        <v>110000</v>
      </c>
      <c r="H34" s="3">
        <f>+(Mechlab!$H$4*$A34*H$2)/75</f>
        <v>330000</v>
      </c>
      <c r="I34" s="3">
        <f>+(Mechlab!$H$4*$A34*I$2)/75</f>
        <v>440000</v>
      </c>
      <c r="J34" s="3">
        <f>+(Mechlab!$H$4*$A34*J$2)/75</f>
        <v>2200000</v>
      </c>
      <c r="K34" s="3">
        <f>+(Mechlab!$H$4*$A34*K$2)/75</f>
        <v>27500</v>
      </c>
      <c r="L34" s="3">
        <f>+(Mechlab!$H$4*$A34*L$2)/75</f>
        <v>220000</v>
      </c>
    </row>
    <row r="35" spans="1:12">
      <c r="A35" s="2">
        <f t="shared" si="6"/>
        <v>170</v>
      </c>
      <c r="B35" s="2">
        <v>6</v>
      </c>
      <c r="C35" s="2">
        <v>4.5</v>
      </c>
      <c r="D35" s="2">
        <v>3</v>
      </c>
      <c r="E35" s="2">
        <v>2</v>
      </c>
      <c r="F35" s="2">
        <f>+B35*1.5</f>
        <v>9</v>
      </c>
      <c r="G35" s="3">
        <f>+(Mechlab!$H$4*$A35*G$2)/75</f>
        <v>113333.33333333333</v>
      </c>
      <c r="H35" s="3">
        <f>+(Mechlab!$H$4*$A35*H$2)/75</f>
        <v>340000</v>
      </c>
      <c r="I35" s="3">
        <f>+(Mechlab!$H$4*$A35*I$2)/75</f>
        <v>453333.33333333331</v>
      </c>
      <c r="J35" s="3">
        <f>+(Mechlab!$H$4*$A35*J$2)/75</f>
        <v>2266666.6666666665</v>
      </c>
      <c r="K35" s="3">
        <f>+(Mechlab!$H$4*$A35*K$2)/75</f>
        <v>28333.333333333332</v>
      </c>
      <c r="L35" s="3">
        <f>+(Mechlab!$H$4*$A35*L$2)/75</f>
        <v>226666.66666666666</v>
      </c>
    </row>
    <row r="36" spans="1:12">
      <c r="A36" s="2">
        <f t="shared" ref="A36:A67" si="14">+A35+5</f>
        <v>175</v>
      </c>
      <c r="B36" s="2">
        <v>7</v>
      </c>
      <c r="C36" s="2">
        <v>5.5</v>
      </c>
      <c r="D36" s="2">
        <v>3.5</v>
      </c>
      <c r="E36" s="2">
        <v>2.5</v>
      </c>
      <c r="F36" s="2">
        <f>+B36*1.5</f>
        <v>10.5</v>
      </c>
      <c r="G36" s="3">
        <f>+(Mechlab!$H$4*$A36*G$2)/75</f>
        <v>116666.66666666667</v>
      </c>
      <c r="H36" s="3">
        <f>+(Mechlab!$H$4*$A36*H$2)/75</f>
        <v>350000</v>
      </c>
      <c r="I36" s="3">
        <f>+(Mechlab!$H$4*$A36*I$2)/75</f>
        <v>466666.66666666669</v>
      </c>
      <c r="J36" s="3">
        <f>+(Mechlab!$H$4*$A36*J$2)/75</f>
        <v>2333333.3333333335</v>
      </c>
      <c r="K36" s="3">
        <f>+(Mechlab!$H$4*$A36*K$2)/75</f>
        <v>29166.666666666668</v>
      </c>
      <c r="L36" s="3">
        <f>+(Mechlab!$H$4*$A36*L$2)/75</f>
        <v>233333.33333333334</v>
      </c>
    </row>
    <row r="37" spans="1:12">
      <c r="A37" s="2">
        <f t="shared" si="14"/>
        <v>180</v>
      </c>
      <c r="B37" s="2">
        <v>7</v>
      </c>
      <c r="C37" s="2">
        <v>5.5</v>
      </c>
      <c r="D37" s="2">
        <v>3.5</v>
      </c>
      <c r="E37" s="2">
        <v>2.5</v>
      </c>
      <c r="F37" s="2">
        <f>+B37*1.5</f>
        <v>10.5</v>
      </c>
      <c r="G37" s="3">
        <f>+(Mechlab!$H$4*$A37*G$2)/75</f>
        <v>120000</v>
      </c>
      <c r="H37" s="3">
        <f>+(Mechlab!$H$4*$A37*H$2)/75</f>
        <v>360000</v>
      </c>
      <c r="I37" s="3">
        <f>+(Mechlab!$H$4*$A37*I$2)/75</f>
        <v>480000</v>
      </c>
      <c r="J37" s="3">
        <f>+(Mechlab!$H$4*$A37*J$2)/75</f>
        <v>2400000</v>
      </c>
      <c r="K37" s="3">
        <f>+(Mechlab!$H$4*$A37*K$2)/75</f>
        <v>30000</v>
      </c>
      <c r="L37" s="3">
        <f>+(Mechlab!$H$4*$A37*L$2)/75</f>
        <v>240000</v>
      </c>
    </row>
    <row r="38" spans="1:12">
      <c r="A38" s="2">
        <f t="shared" si="14"/>
        <v>185</v>
      </c>
      <c r="B38" s="2">
        <v>7.5</v>
      </c>
      <c r="C38" s="2">
        <v>6</v>
      </c>
      <c r="D38" s="2">
        <v>4</v>
      </c>
      <c r="E38" s="2">
        <v>2.5</v>
      </c>
      <c r="F38" s="2">
        <v>11.5</v>
      </c>
      <c r="G38" s="3">
        <f>+(Mechlab!$H$4*$A38*G$2)/75</f>
        <v>123333.33333333333</v>
      </c>
      <c r="H38" s="3">
        <f>+(Mechlab!$H$4*$A38*H$2)/75</f>
        <v>370000</v>
      </c>
      <c r="I38" s="3">
        <f>+(Mechlab!$H$4*$A38*I$2)/75</f>
        <v>493333.33333333331</v>
      </c>
      <c r="J38" s="3">
        <f>+(Mechlab!$H$4*$A38*J$2)/75</f>
        <v>2466666.6666666665</v>
      </c>
      <c r="K38" s="3">
        <f>+(Mechlab!$H$4*$A38*K$2)/75</f>
        <v>30833.333333333332</v>
      </c>
      <c r="L38" s="3">
        <f>+(Mechlab!$H$4*$A38*L$2)/75</f>
        <v>246666.66666666666</v>
      </c>
    </row>
    <row r="39" spans="1:12">
      <c r="A39" s="2">
        <f t="shared" si="14"/>
        <v>190</v>
      </c>
      <c r="B39" s="2">
        <v>7.5</v>
      </c>
      <c r="C39" s="2">
        <v>6</v>
      </c>
      <c r="D39" s="2">
        <v>4</v>
      </c>
      <c r="E39" s="2">
        <v>2.5</v>
      </c>
      <c r="F39" s="2">
        <v>11.5</v>
      </c>
      <c r="G39" s="3">
        <f>+(Mechlab!$H$4*$A39*G$2)/75</f>
        <v>126666.66666666667</v>
      </c>
      <c r="H39" s="3">
        <f>+(Mechlab!$H$4*$A39*H$2)/75</f>
        <v>380000</v>
      </c>
      <c r="I39" s="3">
        <f>+(Mechlab!$H$4*$A39*I$2)/75</f>
        <v>506666.66666666669</v>
      </c>
      <c r="J39" s="3">
        <f>+(Mechlab!$H$4*$A39*J$2)/75</f>
        <v>2533333.3333333335</v>
      </c>
      <c r="K39" s="3">
        <f>+(Mechlab!$H$4*$A39*K$2)/75</f>
        <v>31666.666666666668</v>
      </c>
      <c r="L39" s="3">
        <f>+(Mechlab!$H$4*$A39*L$2)/75</f>
        <v>253333.33333333334</v>
      </c>
    </row>
    <row r="40" spans="1:12">
      <c r="A40" s="2">
        <f t="shared" si="14"/>
        <v>195</v>
      </c>
      <c r="B40" s="2">
        <v>8</v>
      </c>
      <c r="C40" s="2">
        <v>6</v>
      </c>
      <c r="D40" s="2">
        <v>4</v>
      </c>
      <c r="E40" s="2">
        <v>3</v>
      </c>
      <c r="F40" s="2">
        <f>+B40*1.5</f>
        <v>12</v>
      </c>
      <c r="G40" s="3">
        <f>+(Mechlab!$H$4*$A40*G$2)/75</f>
        <v>130000</v>
      </c>
      <c r="H40" s="3">
        <f>+(Mechlab!$H$4*$A40*H$2)/75</f>
        <v>390000</v>
      </c>
      <c r="I40" s="3">
        <f>+(Mechlab!$H$4*$A40*I$2)/75</f>
        <v>520000</v>
      </c>
      <c r="J40" s="3">
        <f>+(Mechlab!$H$4*$A40*J$2)/75</f>
        <v>2600000</v>
      </c>
      <c r="K40" s="3">
        <f>+(Mechlab!$H$4*$A40*K$2)/75</f>
        <v>32500</v>
      </c>
      <c r="L40" s="3">
        <f>+(Mechlab!$H$4*$A40*L$2)/75</f>
        <v>260000</v>
      </c>
    </row>
    <row r="41" spans="1:12">
      <c r="A41" s="2">
        <f t="shared" si="14"/>
        <v>200</v>
      </c>
      <c r="B41" s="2">
        <v>8.5</v>
      </c>
      <c r="C41" s="2">
        <v>6.5</v>
      </c>
      <c r="D41" s="2">
        <v>4.5</v>
      </c>
      <c r="E41" s="2">
        <v>3</v>
      </c>
      <c r="F41" s="2">
        <v>13</v>
      </c>
      <c r="G41" s="3">
        <f>+(Mechlab!$H$4*$A41*G$2)/75</f>
        <v>133333.33333333334</v>
      </c>
      <c r="H41" s="3">
        <f>+(Mechlab!$H$4*$A41*H$2)/75</f>
        <v>400000</v>
      </c>
      <c r="I41" s="3">
        <f>+(Mechlab!$H$4*$A41*I$2)/75</f>
        <v>533333.33333333337</v>
      </c>
      <c r="J41" s="3">
        <f>+(Mechlab!$H$4*$A41*J$2)/75</f>
        <v>2666666.6666666665</v>
      </c>
      <c r="K41" s="3">
        <f>+(Mechlab!$H$4*$A41*K$2)/75</f>
        <v>33333.333333333336</v>
      </c>
      <c r="L41" s="3">
        <f>+(Mechlab!$H$4*$A41*L$2)/75</f>
        <v>266666.66666666669</v>
      </c>
    </row>
    <row r="42" spans="1:12">
      <c r="A42" s="2">
        <f t="shared" si="14"/>
        <v>205</v>
      </c>
      <c r="B42" s="2">
        <v>8.5</v>
      </c>
      <c r="C42" s="2">
        <v>6.5</v>
      </c>
      <c r="D42" s="2">
        <v>4.5</v>
      </c>
      <c r="E42" s="2">
        <v>3</v>
      </c>
      <c r="F42" s="2">
        <v>13</v>
      </c>
      <c r="G42" s="3">
        <f>+(Mechlab!$H$4*$A42*G$2)/75</f>
        <v>136666.66666666666</v>
      </c>
      <c r="H42" s="3">
        <f>+(Mechlab!$H$4*$A42*H$2)/75</f>
        <v>410000</v>
      </c>
      <c r="I42" s="3">
        <f>+(Mechlab!$H$4*$A42*I$2)/75</f>
        <v>546666.66666666663</v>
      </c>
      <c r="J42" s="3">
        <f>+(Mechlab!$H$4*$A42*J$2)/75</f>
        <v>2733333.3333333335</v>
      </c>
      <c r="K42" s="3">
        <f>+(Mechlab!$H$4*$A42*K$2)/75</f>
        <v>34166.666666666664</v>
      </c>
      <c r="L42" s="3">
        <f>+(Mechlab!$H$4*$A42*L$2)/75</f>
        <v>273333.33333333331</v>
      </c>
    </row>
    <row r="43" spans="1:12">
      <c r="A43" s="2">
        <f t="shared" si="14"/>
        <v>210</v>
      </c>
      <c r="B43" s="2">
        <v>9</v>
      </c>
      <c r="C43" s="2">
        <v>7</v>
      </c>
      <c r="D43" s="2">
        <v>4.5</v>
      </c>
      <c r="E43" s="2">
        <v>3</v>
      </c>
      <c r="F43" s="2">
        <f>+B43*1.5</f>
        <v>13.5</v>
      </c>
      <c r="G43" s="3">
        <f>+(Mechlab!$H$4*$A43*G$2)/75</f>
        <v>140000</v>
      </c>
      <c r="H43" s="3">
        <f>+(Mechlab!$H$4*$A43*H$2)/75</f>
        <v>420000</v>
      </c>
      <c r="I43" s="3">
        <f>+(Mechlab!$H$4*$A43*I$2)/75</f>
        <v>560000</v>
      </c>
      <c r="J43" s="3">
        <f>+(Mechlab!$H$4*$A43*J$2)/75</f>
        <v>2800000</v>
      </c>
      <c r="K43" s="3">
        <f>+(Mechlab!$H$4*$A43*K$2)/75</f>
        <v>35000</v>
      </c>
      <c r="L43" s="3">
        <f>+(Mechlab!$H$4*$A43*L$2)/75</f>
        <v>280000</v>
      </c>
    </row>
    <row r="44" spans="1:12">
      <c r="A44" s="2">
        <f t="shared" si="14"/>
        <v>215</v>
      </c>
      <c r="B44" s="2">
        <v>9.5</v>
      </c>
      <c r="C44" s="2">
        <v>7.5</v>
      </c>
      <c r="D44" s="2">
        <v>5</v>
      </c>
      <c r="E44" s="2">
        <v>3.5</v>
      </c>
      <c r="F44" s="2">
        <v>14.5</v>
      </c>
      <c r="G44" s="3">
        <f>+(Mechlab!$H$4*$A44*G$2)/75</f>
        <v>143333.33333333334</v>
      </c>
      <c r="H44" s="3">
        <f>+(Mechlab!$H$4*$A44*H$2)/75</f>
        <v>430000</v>
      </c>
      <c r="I44" s="3">
        <f>+(Mechlab!$H$4*$A44*I$2)/75</f>
        <v>573333.33333333337</v>
      </c>
      <c r="J44" s="3">
        <f>+(Mechlab!$H$4*$A44*J$2)/75</f>
        <v>2866666.6666666665</v>
      </c>
      <c r="K44" s="3">
        <f>+(Mechlab!$H$4*$A44*K$2)/75</f>
        <v>35833.333333333336</v>
      </c>
      <c r="L44" s="3">
        <f>+(Mechlab!$H$4*$A44*L$2)/75</f>
        <v>286666.66666666669</v>
      </c>
    </row>
    <row r="45" spans="1:12">
      <c r="A45" s="2">
        <f t="shared" si="14"/>
        <v>220</v>
      </c>
      <c r="B45" s="2">
        <v>10</v>
      </c>
      <c r="C45" s="2">
        <v>7.5</v>
      </c>
      <c r="D45" s="2">
        <v>5</v>
      </c>
      <c r="E45" s="2">
        <v>3.5</v>
      </c>
      <c r="F45" s="2">
        <f>+B45*1.5</f>
        <v>15</v>
      </c>
      <c r="G45" s="3">
        <f>+(Mechlab!$H$4*$A45*G$2)/75</f>
        <v>146666.66666666666</v>
      </c>
      <c r="H45" s="3">
        <f>+(Mechlab!$H$4*$A45*H$2)/75</f>
        <v>440000</v>
      </c>
      <c r="I45" s="3">
        <f>+(Mechlab!$H$4*$A45*I$2)/75</f>
        <v>586666.66666666663</v>
      </c>
      <c r="J45" s="3">
        <f>+(Mechlab!$H$4*$A45*J$2)/75</f>
        <v>2933333.3333333335</v>
      </c>
      <c r="K45" s="3">
        <f>+(Mechlab!$H$4*$A45*K$2)/75</f>
        <v>36666.666666666664</v>
      </c>
      <c r="L45" s="3">
        <f>+(Mechlab!$H$4*$A45*L$2)/75</f>
        <v>293333.33333333331</v>
      </c>
    </row>
    <row r="46" spans="1:12">
      <c r="A46" s="2">
        <f t="shared" si="14"/>
        <v>225</v>
      </c>
      <c r="B46" s="2">
        <v>10</v>
      </c>
      <c r="C46" s="2">
        <v>7.5</v>
      </c>
      <c r="D46" s="2">
        <v>5</v>
      </c>
      <c r="E46" s="2">
        <v>3.5</v>
      </c>
      <c r="F46" s="2">
        <f>+B46*1.5</f>
        <v>15</v>
      </c>
      <c r="G46" s="3">
        <f>+(Mechlab!$H$4*$A46*G$2)/75</f>
        <v>150000</v>
      </c>
      <c r="H46" s="3">
        <f>+(Mechlab!$H$4*$A46*H$2)/75</f>
        <v>450000</v>
      </c>
      <c r="I46" s="3">
        <f>+(Mechlab!$H$4*$A46*I$2)/75</f>
        <v>600000</v>
      </c>
      <c r="J46" s="3">
        <f>+(Mechlab!$H$4*$A46*J$2)/75</f>
        <v>3000000</v>
      </c>
      <c r="K46" s="3">
        <f>+(Mechlab!$H$4*$A46*K$2)/75</f>
        <v>37500</v>
      </c>
      <c r="L46" s="3">
        <f>+(Mechlab!$H$4*$A46*L$2)/75</f>
        <v>300000</v>
      </c>
    </row>
    <row r="47" spans="1:12">
      <c r="A47" s="2">
        <f t="shared" si="14"/>
        <v>230</v>
      </c>
      <c r="B47" s="2">
        <v>10.5</v>
      </c>
      <c r="C47" s="2">
        <v>8</v>
      </c>
      <c r="D47" s="2">
        <v>5.5</v>
      </c>
      <c r="E47" s="2">
        <v>3.5</v>
      </c>
      <c r="F47" s="2">
        <v>16</v>
      </c>
      <c r="G47" s="3">
        <f>+(Mechlab!$H$4*$A47*G$2)/75</f>
        <v>153333.33333333334</v>
      </c>
      <c r="H47" s="3">
        <f>+(Mechlab!$H$4*$A47*H$2)/75</f>
        <v>460000</v>
      </c>
      <c r="I47" s="3">
        <f>+(Mechlab!$H$4*$A47*I$2)/75</f>
        <v>613333.33333333337</v>
      </c>
      <c r="J47" s="3">
        <f>+(Mechlab!$H$4*$A47*J$2)/75</f>
        <v>3066666.6666666665</v>
      </c>
      <c r="K47" s="3">
        <f>+(Mechlab!$H$4*$A47*K$2)/75</f>
        <v>38333.333333333336</v>
      </c>
      <c r="L47" s="3">
        <f>+(Mechlab!$H$4*$A47*L$2)/75</f>
        <v>306666.66666666669</v>
      </c>
    </row>
    <row r="48" spans="1:12">
      <c r="A48" s="2">
        <f t="shared" si="14"/>
        <v>235</v>
      </c>
      <c r="B48" s="2">
        <v>11</v>
      </c>
      <c r="C48" s="2">
        <v>8.5</v>
      </c>
      <c r="D48" s="2">
        <v>5.5</v>
      </c>
      <c r="E48" s="2">
        <v>4</v>
      </c>
      <c r="F48" s="2">
        <f>+B48*1.5</f>
        <v>16.5</v>
      </c>
      <c r="G48" s="3">
        <f>+(Mechlab!$H$4*$A48*G$2)/75</f>
        <v>156666.66666666666</v>
      </c>
      <c r="H48" s="3">
        <f>+(Mechlab!$H$4*$A48*H$2)/75</f>
        <v>470000</v>
      </c>
      <c r="I48" s="3">
        <f>+(Mechlab!$H$4*$A48*I$2)/75</f>
        <v>626666.66666666663</v>
      </c>
      <c r="J48" s="3">
        <f>+(Mechlab!$H$4*$A48*J$2)/75</f>
        <v>3133333.3333333335</v>
      </c>
      <c r="K48" s="3">
        <f>+(Mechlab!$H$4*$A48*K$2)/75</f>
        <v>39166.666666666664</v>
      </c>
      <c r="L48" s="3">
        <f>+(Mechlab!$H$4*$A48*L$2)/75</f>
        <v>313333.33333333331</v>
      </c>
    </row>
    <row r="49" spans="1:12">
      <c r="A49" s="2">
        <f t="shared" si="14"/>
        <v>240</v>
      </c>
      <c r="B49" s="2">
        <v>11.5</v>
      </c>
      <c r="C49" s="2">
        <v>9</v>
      </c>
      <c r="D49" s="2">
        <v>6</v>
      </c>
      <c r="E49" s="2">
        <v>4</v>
      </c>
      <c r="F49" s="2">
        <v>17.5</v>
      </c>
      <c r="G49" s="3">
        <f>+(Mechlab!$H$4*$A49*G$2)/75</f>
        <v>160000</v>
      </c>
      <c r="H49" s="3">
        <f>+(Mechlab!$H$4*$A49*H$2)/75</f>
        <v>480000</v>
      </c>
      <c r="I49" s="3">
        <f>+(Mechlab!$H$4*$A49*I$2)/75</f>
        <v>640000</v>
      </c>
      <c r="J49" s="3">
        <f>+(Mechlab!$H$4*$A49*J$2)/75</f>
        <v>3200000</v>
      </c>
      <c r="K49" s="3">
        <f>+(Mechlab!$H$4*$A49*K$2)/75</f>
        <v>40000</v>
      </c>
      <c r="L49" s="3">
        <f>+(Mechlab!$H$4*$A49*L$2)/75</f>
        <v>320000</v>
      </c>
    </row>
    <row r="50" spans="1:12">
      <c r="A50" s="2">
        <f t="shared" si="14"/>
        <v>245</v>
      </c>
      <c r="B50" s="2">
        <v>12</v>
      </c>
      <c r="C50" s="2">
        <v>9</v>
      </c>
      <c r="D50" s="2">
        <v>6</v>
      </c>
      <c r="E50" s="2">
        <v>4</v>
      </c>
      <c r="F50" s="2">
        <f>+B50*1.5</f>
        <v>18</v>
      </c>
      <c r="G50" s="3">
        <f>+(Mechlab!$H$4*$A50*G$2)/75</f>
        <v>163333.33333333334</v>
      </c>
      <c r="H50" s="3">
        <f>+(Mechlab!$H$4*$A50*H$2)/75</f>
        <v>490000</v>
      </c>
      <c r="I50" s="3">
        <f>+(Mechlab!$H$4*$A50*I$2)/75</f>
        <v>653333.33333333337</v>
      </c>
      <c r="J50" s="3">
        <f>+(Mechlab!$H$4*$A50*J$2)/75</f>
        <v>3266666.6666666665</v>
      </c>
      <c r="K50" s="3">
        <f>+(Mechlab!$H$4*$A50*K$2)/75</f>
        <v>40833.333333333336</v>
      </c>
      <c r="L50" s="3">
        <f>+(Mechlab!$H$4*$A50*L$2)/75</f>
        <v>326666.66666666669</v>
      </c>
    </row>
    <row r="51" spans="1:12">
      <c r="A51" s="2">
        <f t="shared" si="14"/>
        <v>250</v>
      </c>
      <c r="B51" s="2">
        <v>12.5</v>
      </c>
      <c r="C51" s="2">
        <v>9.5</v>
      </c>
      <c r="D51" s="2">
        <v>6.5</v>
      </c>
      <c r="E51" s="2">
        <v>4.5</v>
      </c>
      <c r="F51" s="2">
        <v>19</v>
      </c>
      <c r="G51" s="3">
        <f>+(Mechlab!$H$4*$A51*G$2)/75</f>
        <v>166666.66666666666</v>
      </c>
      <c r="H51" s="3">
        <f>+(Mechlab!$H$4*$A51*H$2)/75</f>
        <v>500000</v>
      </c>
      <c r="I51" s="3">
        <f>+(Mechlab!$H$4*$A51*I$2)/75</f>
        <v>666666.66666666663</v>
      </c>
      <c r="J51" s="3">
        <f>+(Mechlab!$H$4*$A51*J$2)/75</f>
        <v>3333333.3333333335</v>
      </c>
      <c r="K51" s="3">
        <f>+(Mechlab!$H$4*$A51*K$2)/75</f>
        <v>41666.666666666664</v>
      </c>
      <c r="L51" s="3">
        <f>+(Mechlab!$H$4*$A51*L$2)/75</f>
        <v>333333.33333333331</v>
      </c>
    </row>
    <row r="52" spans="1:12">
      <c r="A52" s="2">
        <f t="shared" si="14"/>
        <v>255</v>
      </c>
      <c r="B52" s="2">
        <v>13</v>
      </c>
      <c r="C52" s="2">
        <v>10</v>
      </c>
      <c r="D52" s="2">
        <f>ROUNDUP(B52*0.5,1)</f>
        <v>6.5</v>
      </c>
      <c r="E52" s="2">
        <v>4.5</v>
      </c>
      <c r="F52" s="2">
        <f>+B52*1.5</f>
        <v>19.5</v>
      </c>
      <c r="G52" s="3">
        <f>+(Mechlab!$H$4*$A52*G$2)/75</f>
        <v>170000</v>
      </c>
      <c r="H52" s="3">
        <f>+(Mechlab!$H$4*$A52*H$2)/75</f>
        <v>510000</v>
      </c>
      <c r="I52" s="3">
        <f>+(Mechlab!$H$4*$A52*I$2)/75</f>
        <v>680000</v>
      </c>
      <c r="J52" s="3">
        <f>+(Mechlab!$H$4*$A52*J$2)/75</f>
        <v>3400000</v>
      </c>
      <c r="K52" s="3">
        <f>+(Mechlab!$H$4*$A52*K$2)/75</f>
        <v>42500</v>
      </c>
      <c r="L52" s="3">
        <f>+(Mechlab!$H$4*$A52*L$2)/75</f>
        <v>340000</v>
      </c>
    </row>
    <row r="53" spans="1:12">
      <c r="A53" s="2">
        <f t="shared" si="14"/>
        <v>260</v>
      </c>
      <c r="B53" s="2">
        <v>13.5</v>
      </c>
      <c r="C53" s="2">
        <v>10.5</v>
      </c>
      <c r="D53" s="2">
        <v>7</v>
      </c>
      <c r="E53" s="2">
        <v>4.5</v>
      </c>
      <c r="F53" s="2">
        <v>20.5</v>
      </c>
      <c r="G53" s="3">
        <f>+(Mechlab!$H$4*$A53*G$2)/75</f>
        <v>173333.33333333334</v>
      </c>
      <c r="H53" s="3">
        <f>+(Mechlab!$H$4*$A53*H$2)/75</f>
        <v>520000</v>
      </c>
      <c r="I53" s="3">
        <f>+(Mechlab!$H$4*$A53*I$2)/75</f>
        <v>693333.33333333337</v>
      </c>
      <c r="J53" s="3">
        <f>+(Mechlab!$H$4*$A53*J$2)/75</f>
        <v>3466666.6666666665</v>
      </c>
      <c r="K53" s="3">
        <f>+(Mechlab!$H$4*$A53*K$2)/75</f>
        <v>43333.333333333336</v>
      </c>
      <c r="L53" s="3">
        <f>+(Mechlab!$H$4*$A53*L$2)/75</f>
        <v>346666.66666666669</v>
      </c>
    </row>
    <row r="54" spans="1:12">
      <c r="A54" s="2">
        <f t="shared" si="14"/>
        <v>265</v>
      </c>
      <c r="B54" s="2">
        <v>14</v>
      </c>
      <c r="C54" s="2">
        <v>10.5</v>
      </c>
      <c r="D54" s="2">
        <v>7</v>
      </c>
      <c r="E54" s="2">
        <v>5</v>
      </c>
      <c r="F54" s="2">
        <f>+B54*1.5</f>
        <v>21</v>
      </c>
      <c r="G54" s="3">
        <f>+(Mechlab!$H$4*$A54*G$2)/75</f>
        <v>176666.66666666666</v>
      </c>
      <c r="H54" s="3">
        <f>+(Mechlab!$H$4*$A54*H$2)/75</f>
        <v>530000</v>
      </c>
      <c r="I54" s="3">
        <f>+(Mechlab!$H$4*$A54*I$2)/75</f>
        <v>706666.66666666663</v>
      </c>
      <c r="J54" s="3">
        <f>+(Mechlab!$H$4*$A54*J$2)/75</f>
        <v>3533333.3333333335</v>
      </c>
      <c r="K54" s="3">
        <f>+(Mechlab!$H$4*$A54*K$2)/75</f>
        <v>44166.666666666664</v>
      </c>
      <c r="L54" s="3">
        <f>+(Mechlab!$H$4*$A54*L$2)/75</f>
        <v>353333.33333333331</v>
      </c>
    </row>
    <row r="55" spans="1:12">
      <c r="A55" s="2">
        <f t="shared" si="14"/>
        <v>270</v>
      </c>
      <c r="B55" s="2">
        <v>14.5</v>
      </c>
      <c r="C55" s="2">
        <v>1</v>
      </c>
      <c r="D55" s="2">
        <v>7.5</v>
      </c>
      <c r="E55" s="2">
        <v>5</v>
      </c>
      <c r="F55" s="2">
        <v>22</v>
      </c>
      <c r="G55" s="3">
        <f>+(Mechlab!$H$4*$A55*G$2)/75</f>
        <v>180000</v>
      </c>
      <c r="H55" s="3">
        <f>+(Mechlab!$H$4*$A55*H$2)/75</f>
        <v>540000</v>
      </c>
      <c r="I55" s="3">
        <f>+(Mechlab!$H$4*$A55*I$2)/75</f>
        <v>720000</v>
      </c>
      <c r="J55" s="3">
        <f>+(Mechlab!$H$4*$A55*J$2)/75</f>
        <v>3600000</v>
      </c>
      <c r="K55" s="3">
        <f>+(Mechlab!$H$4*$A55*K$2)/75</f>
        <v>45000</v>
      </c>
      <c r="L55" s="3">
        <f>+(Mechlab!$H$4*$A55*L$2)/75</f>
        <v>360000</v>
      </c>
    </row>
    <row r="56" spans="1:12">
      <c r="A56" s="2">
        <f t="shared" si="14"/>
        <v>275</v>
      </c>
      <c r="B56" s="2">
        <v>15.5</v>
      </c>
      <c r="C56" s="2">
        <v>12</v>
      </c>
      <c r="D56" s="2">
        <v>8</v>
      </c>
      <c r="E56" s="2">
        <v>5.5</v>
      </c>
      <c r="F56" s="2">
        <v>23.5</v>
      </c>
      <c r="G56" s="3">
        <f>+(Mechlab!$H$4*$A56*G$2)/75</f>
        <v>183333.33333333334</v>
      </c>
      <c r="H56" s="3">
        <f>+(Mechlab!$H$4*$A56*H$2)/75</f>
        <v>550000</v>
      </c>
      <c r="I56" s="3">
        <f>+(Mechlab!$H$4*$A56*I$2)/75</f>
        <v>733333.33333333337</v>
      </c>
      <c r="J56" s="3">
        <f>+(Mechlab!$H$4*$A56*J$2)/75</f>
        <v>3666666.6666666665</v>
      </c>
      <c r="K56" s="3">
        <f>+(Mechlab!$H$4*$A56*K$2)/75</f>
        <v>45833.333333333336</v>
      </c>
      <c r="L56" s="3">
        <f>+(Mechlab!$H$4*$A56*L$2)/75</f>
        <v>366666.66666666669</v>
      </c>
    </row>
    <row r="57" spans="1:12">
      <c r="A57" s="2">
        <f t="shared" si="14"/>
        <v>280</v>
      </c>
      <c r="B57" s="2">
        <v>16</v>
      </c>
      <c r="C57" s="2">
        <v>12</v>
      </c>
      <c r="D57" s="2">
        <v>8</v>
      </c>
      <c r="E57" s="2">
        <v>5.5</v>
      </c>
      <c r="F57" s="2">
        <f>+B57*1.5</f>
        <v>24</v>
      </c>
      <c r="G57" s="3">
        <f>+(Mechlab!$H$4*$A57*G$2)/75</f>
        <v>186666.66666666666</v>
      </c>
      <c r="H57" s="3">
        <f>+(Mechlab!$H$4*$A57*H$2)/75</f>
        <v>560000</v>
      </c>
      <c r="I57" s="3">
        <f>+(Mechlab!$H$4*$A57*I$2)/75</f>
        <v>746666.66666666663</v>
      </c>
      <c r="J57" s="3">
        <f>+(Mechlab!$H$4*$A57*J$2)/75</f>
        <v>3733333.3333333335</v>
      </c>
      <c r="K57" s="3">
        <f>+(Mechlab!$H$4*$A57*K$2)/75</f>
        <v>46666.666666666664</v>
      </c>
      <c r="L57" s="3">
        <f>+(Mechlab!$H$4*$A57*L$2)/75</f>
        <v>373333.33333333331</v>
      </c>
    </row>
    <row r="58" spans="1:12">
      <c r="A58" s="2">
        <f t="shared" si="14"/>
        <v>285</v>
      </c>
      <c r="B58" s="2">
        <v>16.5</v>
      </c>
      <c r="C58" s="2">
        <v>12.5</v>
      </c>
      <c r="D58" s="2">
        <v>8.5</v>
      </c>
      <c r="E58" s="2">
        <v>5.5</v>
      </c>
      <c r="F58" s="2">
        <v>25</v>
      </c>
      <c r="G58" s="3">
        <f>+(Mechlab!$H$4*$A58*G$2)/75</f>
        <v>190000</v>
      </c>
      <c r="H58" s="3">
        <f>+(Mechlab!$H$4*$A58*H$2)/75</f>
        <v>570000</v>
      </c>
      <c r="I58" s="3">
        <f>+(Mechlab!$H$4*$A58*I$2)/75</f>
        <v>760000</v>
      </c>
      <c r="J58" s="3">
        <f>+(Mechlab!$H$4*$A58*J$2)/75</f>
        <v>3800000</v>
      </c>
      <c r="K58" s="3">
        <f>+(Mechlab!$H$4*$A58*K$2)/75</f>
        <v>47500</v>
      </c>
      <c r="L58" s="3">
        <f>+(Mechlab!$H$4*$A58*L$2)/75</f>
        <v>380000</v>
      </c>
    </row>
    <row r="59" spans="1:12">
      <c r="A59" s="2">
        <f t="shared" si="14"/>
        <v>290</v>
      </c>
      <c r="B59" s="2">
        <v>17.5</v>
      </c>
      <c r="C59" s="2">
        <v>13.5</v>
      </c>
      <c r="D59" s="2">
        <v>9</v>
      </c>
      <c r="E59" s="2">
        <v>6</v>
      </c>
      <c r="F59" s="2">
        <v>26.5</v>
      </c>
      <c r="G59" s="3">
        <f>+(Mechlab!$H$4*$A59*G$2)/75</f>
        <v>193333.33333333334</v>
      </c>
      <c r="H59" s="3">
        <f>+(Mechlab!$H$4*$A59*H$2)/75</f>
        <v>580000</v>
      </c>
      <c r="I59" s="3">
        <f>+(Mechlab!$H$4*$A59*I$2)/75</f>
        <v>773333.33333333337</v>
      </c>
      <c r="J59" s="3">
        <f>+(Mechlab!$H$4*$A59*J$2)/75</f>
        <v>3866666.6666666665</v>
      </c>
      <c r="K59" s="3">
        <f>+(Mechlab!$H$4*$A59*K$2)/75</f>
        <v>48333.333333333336</v>
      </c>
      <c r="L59" s="3">
        <f>+(Mechlab!$H$4*$A59*L$2)/75</f>
        <v>386666.66666666669</v>
      </c>
    </row>
    <row r="60" spans="1:12">
      <c r="A60" s="2">
        <f t="shared" si="14"/>
        <v>295</v>
      </c>
      <c r="B60" s="2">
        <v>18</v>
      </c>
      <c r="C60" s="2">
        <v>13.5</v>
      </c>
      <c r="D60" s="2">
        <v>9</v>
      </c>
      <c r="E60" s="2">
        <v>6</v>
      </c>
      <c r="F60" s="2">
        <f>+B60*1.5</f>
        <v>27</v>
      </c>
      <c r="G60" s="3">
        <f>+(Mechlab!$H$4*$A60*G$2)/75</f>
        <v>196666.66666666666</v>
      </c>
      <c r="H60" s="3">
        <f>+(Mechlab!$H$4*$A60*H$2)/75</f>
        <v>590000</v>
      </c>
      <c r="I60" s="3">
        <f>+(Mechlab!$H$4*$A60*I$2)/75</f>
        <v>786666.66666666663</v>
      </c>
      <c r="J60" s="3">
        <f>+(Mechlab!$H$4*$A60*J$2)/75</f>
        <v>3933333.3333333335</v>
      </c>
      <c r="K60" s="3">
        <f>+(Mechlab!$H$4*$A60*K$2)/75</f>
        <v>49166.666666666664</v>
      </c>
      <c r="L60" s="3">
        <f>+(Mechlab!$H$4*$A60*L$2)/75</f>
        <v>393333.33333333331</v>
      </c>
    </row>
    <row r="61" spans="1:12">
      <c r="A61" s="2">
        <f t="shared" si="14"/>
        <v>300</v>
      </c>
      <c r="B61" s="2">
        <v>19</v>
      </c>
      <c r="C61" s="2">
        <v>14.5</v>
      </c>
      <c r="D61" s="2">
        <v>9.5</v>
      </c>
      <c r="E61" s="2">
        <v>6.5</v>
      </c>
      <c r="F61" s="2">
        <f>+B61*1.5</f>
        <v>28.5</v>
      </c>
      <c r="G61" s="3">
        <f>+(Mechlab!$H$4*$A61*G$2)/75</f>
        <v>200000</v>
      </c>
      <c r="H61" s="3">
        <f>+(Mechlab!$H$4*$A61*H$2)/75</f>
        <v>600000</v>
      </c>
      <c r="I61" s="3">
        <f>+(Mechlab!$H$4*$A61*I$2)/75</f>
        <v>800000</v>
      </c>
      <c r="J61" s="3">
        <f>+(Mechlab!$H$4*$A61*J$2)/75</f>
        <v>4000000</v>
      </c>
      <c r="K61" s="3">
        <f>+(Mechlab!$H$4*$A61*K$2)/75</f>
        <v>50000</v>
      </c>
      <c r="L61" s="3">
        <f>+(Mechlab!$H$4*$A61*L$2)/75</f>
        <v>400000</v>
      </c>
    </row>
    <row r="62" spans="1:12">
      <c r="A62" s="2">
        <f t="shared" si="14"/>
        <v>305</v>
      </c>
      <c r="B62" s="2">
        <v>19.5</v>
      </c>
      <c r="C62" s="2">
        <v>15</v>
      </c>
      <c r="D62" s="2">
        <v>10</v>
      </c>
      <c r="E62" s="2">
        <v>6.5</v>
      </c>
      <c r="F62" s="2">
        <v>29.5</v>
      </c>
      <c r="G62" s="3">
        <f>+(Mechlab!$H$4*$A62*G$2)/75</f>
        <v>203333.33333333334</v>
      </c>
      <c r="H62" s="3">
        <f>+(Mechlab!$H$4*$A62*H$2)/75</f>
        <v>610000</v>
      </c>
      <c r="I62" s="3">
        <f>+(Mechlab!$H$4*$A62*I$2)/75</f>
        <v>813333.33333333337</v>
      </c>
      <c r="J62" s="3">
        <f>+(Mechlab!$H$4*$A62*J$2)/75</f>
        <v>4066666.6666666665</v>
      </c>
      <c r="K62" s="3">
        <f>+(Mechlab!$H$4*$A62*K$2)/75</f>
        <v>50833.333333333336</v>
      </c>
      <c r="L62" s="3">
        <f>+(Mechlab!$H$4*$A62*L$2)/75</f>
        <v>406666.66666666669</v>
      </c>
    </row>
    <row r="63" spans="1:12">
      <c r="A63" s="2">
        <f t="shared" si="14"/>
        <v>310</v>
      </c>
      <c r="B63" s="2">
        <v>20.5</v>
      </c>
      <c r="C63" s="2">
        <v>15.5</v>
      </c>
      <c r="D63" s="2">
        <v>10.5</v>
      </c>
      <c r="E63" s="2">
        <v>7</v>
      </c>
      <c r="F63" s="2">
        <v>31</v>
      </c>
      <c r="G63" s="3">
        <f>+(Mechlab!$H$4*$A63*G$2)/75</f>
        <v>206666.66666666666</v>
      </c>
      <c r="H63" s="3">
        <f>+(Mechlab!$H$4*$A63*H$2)/75</f>
        <v>620000</v>
      </c>
      <c r="I63" s="3">
        <f>+(Mechlab!$H$4*$A63*I$2)/75</f>
        <v>826666.66666666663</v>
      </c>
      <c r="J63" s="3">
        <f>+(Mechlab!$H$4*$A63*J$2)/75</f>
        <v>4133333.3333333335</v>
      </c>
      <c r="K63" s="3">
        <f>+(Mechlab!$H$4*$A63*K$2)/75</f>
        <v>51666.666666666664</v>
      </c>
      <c r="L63" s="3">
        <f>+(Mechlab!$H$4*$A63*L$2)/75</f>
        <v>413333.33333333331</v>
      </c>
    </row>
    <row r="64" spans="1:12">
      <c r="A64" s="2">
        <f t="shared" si="14"/>
        <v>315</v>
      </c>
      <c r="B64" s="2">
        <v>21.5</v>
      </c>
      <c r="C64" s="2">
        <v>16.5</v>
      </c>
      <c r="D64" s="2">
        <v>11</v>
      </c>
      <c r="E64" s="2">
        <v>7.5</v>
      </c>
      <c r="F64" s="2">
        <v>32.5</v>
      </c>
      <c r="G64" s="3">
        <f>+(Mechlab!$H$4*$A64*G$2)/75</f>
        <v>210000</v>
      </c>
      <c r="H64" s="3">
        <f>+(Mechlab!$H$4*$A64*H$2)/75</f>
        <v>630000</v>
      </c>
      <c r="I64" s="3">
        <f>+(Mechlab!$H$4*$A64*I$2)/75</f>
        <v>840000</v>
      </c>
      <c r="J64" s="3">
        <f>+(Mechlab!$H$4*$A64*J$2)/75</f>
        <v>4200000</v>
      </c>
      <c r="K64" s="3">
        <f>+(Mechlab!$H$4*$A64*K$2)/75</f>
        <v>52500</v>
      </c>
      <c r="L64" s="3">
        <f>+(Mechlab!$H$4*$A64*L$2)/75</f>
        <v>420000</v>
      </c>
    </row>
    <row r="65" spans="1:12">
      <c r="A65" s="2">
        <f t="shared" si="14"/>
        <v>320</v>
      </c>
      <c r="B65" s="2">
        <v>22.5</v>
      </c>
      <c r="C65" s="2">
        <v>17</v>
      </c>
      <c r="D65" s="2">
        <v>11.5</v>
      </c>
      <c r="E65" s="2">
        <v>7.5</v>
      </c>
      <c r="F65" s="2">
        <v>34</v>
      </c>
      <c r="G65" s="3">
        <f>+(Mechlab!$H$4*$A65*G$2)/75</f>
        <v>213333.33333333334</v>
      </c>
      <c r="H65" s="3">
        <f>+(Mechlab!$H$4*$A65*H$2)/75</f>
        <v>640000</v>
      </c>
      <c r="I65" s="3">
        <f>+(Mechlab!$H$4*$A65*I$2)/75</f>
        <v>853333.33333333337</v>
      </c>
      <c r="J65" s="3">
        <f>+(Mechlab!$H$4*$A65*J$2)/75</f>
        <v>4266666.666666667</v>
      </c>
      <c r="K65" s="3">
        <f>+(Mechlab!$H$4*$A65*K$2)/75</f>
        <v>53333.333333333336</v>
      </c>
      <c r="L65" s="3">
        <f>+(Mechlab!$H$4*$A65*L$2)/75</f>
        <v>426666.66666666669</v>
      </c>
    </row>
    <row r="66" spans="1:12">
      <c r="A66" s="2">
        <f t="shared" si="14"/>
        <v>325</v>
      </c>
      <c r="B66" s="2">
        <v>23.5</v>
      </c>
      <c r="C66" s="2">
        <v>18</v>
      </c>
      <c r="D66" s="2">
        <v>12</v>
      </c>
      <c r="E66" s="2">
        <v>8</v>
      </c>
      <c r="F66" s="2">
        <v>35.5</v>
      </c>
      <c r="G66" s="3">
        <f>+(Mechlab!$H$4*$A66*G$2)/75</f>
        <v>216666.66666666666</v>
      </c>
      <c r="H66" s="3">
        <f>+(Mechlab!$H$4*$A66*H$2)/75</f>
        <v>650000</v>
      </c>
      <c r="I66" s="3">
        <f>+(Mechlab!$H$4*$A66*I$2)/75</f>
        <v>866666.66666666663</v>
      </c>
      <c r="J66" s="3">
        <f>+(Mechlab!$H$4*$A66*J$2)/75</f>
        <v>4333333.333333333</v>
      </c>
      <c r="K66" s="3">
        <f>+(Mechlab!$H$4*$A66*K$2)/75</f>
        <v>54166.666666666664</v>
      </c>
      <c r="L66" s="3">
        <f>+(Mechlab!$H$4*$A66*L$2)/75</f>
        <v>433333.33333333331</v>
      </c>
    </row>
    <row r="67" spans="1:12">
      <c r="A67" s="2">
        <f t="shared" si="14"/>
        <v>330</v>
      </c>
      <c r="B67" s="2">
        <v>24.5</v>
      </c>
      <c r="C67" s="2">
        <v>18.5</v>
      </c>
      <c r="D67" s="2">
        <v>12.5</v>
      </c>
      <c r="E67" s="2">
        <v>8.5</v>
      </c>
      <c r="F67" s="2">
        <v>37</v>
      </c>
      <c r="G67" s="3">
        <f>+(Mechlab!$H$4*$A67*G$2)/75</f>
        <v>220000</v>
      </c>
      <c r="H67" s="3">
        <f>+(Mechlab!$H$4*$A67*H$2)/75</f>
        <v>660000</v>
      </c>
      <c r="I67" s="3">
        <f>+(Mechlab!$H$4*$A67*I$2)/75</f>
        <v>880000</v>
      </c>
      <c r="J67" s="3">
        <f>+(Mechlab!$H$4*$A67*J$2)/75</f>
        <v>4400000</v>
      </c>
      <c r="K67" s="3">
        <f>+(Mechlab!$H$4*$A67*K$2)/75</f>
        <v>55000</v>
      </c>
      <c r="L67" s="3">
        <f>+(Mechlab!$H$4*$A67*L$2)/75</f>
        <v>440000</v>
      </c>
    </row>
    <row r="68" spans="1:12">
      <c r="A68" s="2">
        <f t="shared" ref="A68:A101" si="15">+A67+5</f>
        <v>335</v>
      </c>
      <c r="B68" s="2">
        <v>25.5</v>
      </c>
      <c r="C68" s="2">
        <v>20</v>
      </c>
      <c r="D68" s="2">
        <v>13</v>
      </c>
      <c r="E68" s="2">
        <v>8.5</v>
      </c>
      <c r="F68" s="2">
        <v>38.5</v>
      </c>
      <c r="G68" s="3">
        <f>+(Mechlab!$H$4*$A68*G$2)/75</f>
        <v>223333.33333333334</v>
      </c>
      <c r="H68" s="3">
        <f>+(Mechlab!$H$4*$A68*H$2)/75</f>
        <v>670000</v>
      </c>
      <c r="I68" s="3">
        <f>+(Mechlab!$H$4*$A68*I$2)/75</f>
        <v>893333.33333333337</v>
      </c>
      <c r="J68" s="3">
        <f>+(Mechlab!$H$4*$A68*J$2)/75</f>
        <v>4466666.666666667</v>
      </c>
      <c r="K68" s="3">
        <f>+(Mechlab!$H$4*$A68*K$2)/75</f>
        <v>55833.333333333336</v>
      </c>
      <c r="L68" s="3">
        <f>+(Mechlab!$H$4*$A68*L$2)/75</f>
        <v>446666.66666666669</v>
      </c>
    </row>
    <row r="69" spans="1:12">
      <c r="A69" s="2">
        <f t="shared" si="15"/>
        <v>340</v>
      </c>
      <c r="B69" s="2">
        <v>27</v>
      </c>
      <c r="C69" s="2">
        <v>20.5</v>
      </c>
      <c r="D69" s="2">
        <v>13.5</v>
      </c>
      <c r="E69" s="2">
        <v>9</v>
      </c>
      <c r="F69" s="2">
        <f>+B69*1.5</f>
        <v>40.5</v>
      </c>
      <c r="G69" s="3">
        <f>+(Mechlab!$H$4*$A69*G$2)/75</f>
        <v>226666.66666666666</v>
      </c>
      <c r="H69" s="3">
        <f>+(Mechlab!$H$4*$A69*H$2)/75</f>
        <v>680000</v>
      </c>
      <c r="I69" s="3">
        <f>+(Mechlab!$H$4*$A69*I$2)/75</f>
        <v>906666.66666666663</v>
      </c>
      <c r="J69" s="3">
        <f>+(Mechlab!$H$4*$A69*J$2)/75</f>
        <v>4533333.333333333</v>
      </c>
      <c r="K69" s="3">
        <f>+(Mechlab!$H$4*$A69*K$2)/75</f>
        <v>56666.666666666664</v>
      </c>
      <c r="L69" s="3">
        <f>+(Mechlab!$H$4*$A69*L$2)/75</f>
        <v>453333.33333333331</v>
      </c>
    </row>
    <row r="70" spans="1:12">
      <c r="A70" s="2">
        <f t="shared" si="15"/>
        <v>345</v>
      </c>
      <c r="B70" s="2">
        <v>28.5</v>
      </c>
      <c r="C70" s="2">
        <v>21.5</v>
      </c>
      <c r="D70" s="2">
        <v>14.5</v>
      </c>
      <c r="E70" s="2">
        <v>9.5</v>
      </c>
      <c r="F70" s="2">
        <v>43</v>
      </c>
      <c r="G70" s="3">
        <f>+(Mechlab!$H$4*$A70*G$2)/75</f>
        <v>230000</v>
      </c>
      <c r="H70" s="3">
        <f>+(Mechlab!$H$4*$A70*H$2)/75</f>
        <v>690000</v>
      </c>
      <c r="I70" s="3">
        <f>+(Mechlab!$H$4*$A70*I$2)/75</f>
        <v>920000</v>
      </c>
      <c r="J70" s="3">
        <f>+(Mechlab!$H$4*$A70*J$2)/75</f>
        <v>4600000</v>
      </c>
      <c r="K70" s="3">
        <f>+(Mechlab!$H$4*$A70*K$2)/75</f>
        <v>57500</v>
      </c>
      <c r="L70" s="3">
        <f>+(Mechlab!$H$4*$A70*L$2)/75</f>
        <v>460000</v>
      </c>
    </row>
    <row r="71" spans="1:12">
      <c r="A71" s="2">
        <f t="shared" si="15"/>
        <v>350</v>
      </c>
      <c r="B71" s="2">
        <v>29.5</v>
      </c>
      <c r="C71" s="2">
        <v>22.5</v>
      </c>
      <c r="D71" s="2">
        <v>15</v>
      </c>
      <c r="E71" s="2">
        <v>10</v>
      </c>
      <c r="F71" s="2">
        <v>44.5</v>
      </c>
      <c r="G71" s="3">
        <f>+(Mechlab!$H$4*$A71*G$2)/75</f>
        <v>233333.33333333334</v>
      </c>
      <c r="H71" s="3">
        <f>+(Mechlab!$H$4*$A71*H$2)/75</f>
        <v>700000</v>
      </c>
      <c r="I71" s="3">
        <f>+(Mechlab!$H$4*$A71*I$2)/75</f>
        <v>933333.33333333337</v>
      </c>
      <c r="J71" s="3">
        <f>+(Mechlab!$H$4*$A71*J$2)/75</f>
        <v>4666666.666666667</v>
      </c>
      <c r="K71" s="3">
        <f>+(Mechlab!$H$4*$A71*K$2)/75</f>
        <v>58333.333333333336</v>
      </c>
      <c r="L71" s="3">
        <f>+(Mechlab!$H$4*$A71*L$2)/75</f>
        <v>466666.66666666669</v>
      </c>
    </row>
    <row r="72" spans="1:12">
      <c r="A72" s="2">
        <f t="shared" si="15"/>
        <v>355</v>
      </c>
      <c r="B72" s="2">
        <v>31.5</v>
      </c>
      <c r="C72" s="2">
        <v>24</v>
      </c>
      <c r="D72" s="2">
        <v>16</v>
      </c>
      <c r="E72" s="2">
        <v>10.5</v>
      </c>
      <c r="F72" s="2">
        <v>47.5</v>
      </c>
      <c r="G72" s="3">
        <f>+(Mechlab!$H$4*$A72*G$2)/75</f>
        <v>236666.66666666666</v>
      </c>
      <c r="H72" s="3">
        <f>+(Mechlab!$H$4*$A72*H$2)/75</f>
        <v>710000</v>
      </c>
      <c r="I72" s="3">
        <f>+(Mechlab!$H$4*$A72*I$2)/75</f>
        <v>946666.66666666663</v>
      </c>
      <c r="J72" s="3">
        <f>+(Mechlab!$H$4*$A72*J$2)/75</f>
        <v>4733333.333333333</v>
      </c>
      <c r="K72" s="3">
        <f>+(Mechlab!$H$4*$A72*K$2)/75</f>
        <v>59166.666666666664</v>
      </c>
      <c r="L72" s="3">
        <f>+(Mechlab!$H$4*$A72*L$2)/75</f>
        <v>473333.33333333331</v>
      </c>
    </row>
    <row r="73" spans="1:12">
      <c r="A73" s="2">
        <f t="shared" si="15"/>
        <v>360</v>
      </c>
      <c r="B73" s="2">
        <v>33</v>
      </c>
      <c r="C73" s="2">
        <v>25</v>
      </c>
      <c r="D73" s="2">
        <v>16.5</v>
      </c>
      <c r="E73" s="2">
        <v>11</v>
      </c>
      <c r="F73" s="2">
        <f>+B73*1.5</f>
        <v>49.5</v>
      </c>
      <c r="G73" s="3">
        <f>+(Mechlab!$H$4*$A73*G$2)/75</f>
        <v>240000</v>
      </c>
      <c r="H73" s="3">
        <f>+(Mechlab!$H$4*$A73*H$2)/75</f>
        <v>720000</v>
      </c>
      <c r="I73" s="3">
        <f>+(Mechlab!$H$4*$A73*I$2)/75</f>
        <v>960000</v>
      </c>
      <c r="J73" s="3">
        <f>+(Mechlab!$H$4*$A73*J$2)/75</f>
        <v>4800000</v>
      </c>
      <c r="K73" s="3">
        <f>+(Mechlab!$H$4*$A73*K$2)/75</f>
        <v>60000</v>
      </c>
      <c r="L73" s="3">
        <f>+(Mechlab!$H$4*$A73*L$2)/75</f>
        <v>480000</v>
      </c>
    </row>
    <row r="74" spans="1:12">
      <c r="A74" s="2">
        <f t="shared" si="15"/>
        <v>365</v>
      </c>
      <c r="B74" s="2">
        <v>34.5</v>
      </c>
      <c r="C74" s="2">
        <v>26</v>
      </c>
      <c r="D74" s="2">
        <v>17.5</v>
      </c>
      <c r="E74" s="2">
        <v>11.5</v>
      </c>
      <c r="F74" s="2">
        <v>52</v>
      </c>
      <c r="G74" s="3">
        <f>+(Mechlab!$H$4*$A74*G$2)/75</f>
        <v>243333.33333333334</v>
      </c>
      <c r="H74" s="3">
        <f>+(Mechlab!$H$4*$A74*H$2)/75</f>
        <v>730000</v>
      </c>
      <c r="I74" s="3">
        <f>+(Mechlab!$H$4*$A74*I$2)/75</f>
        <v>973333.33333333337</v>
      </c>
      <c r="J74" s="3">
        <f>+(Mechlab!$H$4*$A74*J$2)/75</f>
        <v>4866666.666666667</v>
      </c>
      <c r="K74" s="3">
        <f>+(Mechlab!$H$4*$A74*K$2)/75</f>
        <v>60833.333333333336</v>
      </c>
      <c r="L74" s="3">
        <f>+(Mechlab!$H$4*$A74*L$2)/75</f>
        <v>486666.66666666669</v>
      </c>
    </row>
    <row r="75" spans="1:12">
      <c r="A75" s="2">
        <f t="shared" si="15"/>
        <v>370</v>
      </c>
      <c r="B75" s="2">
        <v>36.5</v>
      </c>
      <c r="C75" s="2">
        <v>27.5</v>
      </c>
      <c r="D75" s="2">
        <v>18.5</v>
      </c>
      <c r="E75" s="2">
        <v>12.5</v>
      </c>
      <c r="F75" s="2">
        <v>55</v>
      </c>
      <c r="G75" s="3">
        <f>+(Mechlab!$H$4*$A75*G$2)/75</f>
        <v>246666.66666666666</v>
      </c>
      <c r="H75" s="3">
        <f>+(Mechlab!$H$4*$A75*H$2)/75</f>
        <v>740000</v>
      </c>
      <c r="I75" s="3">
        <f>+(Mechlab!$H$4*$A75*I$2)/75</f>
        <v>986666.66666666663</v>
      </c>
      <c r="J75" s="3">
        <f>+(Mechlab!$H$4*$A75*J$2)/75</f>
        <v>4933333.333333333</v>
      </c>
      <c r="K75" s="3">
        <f>+(Mechlab!$H$4*$A75*K$2)/75</f>
        <v>61666.666666666664</v>
      </c>
      <c r="L75" s="3">
        <f>+(Mechlab!$H$4*$A75*L$2)/75</f>
        <v>493333.33333333331</v>
      </c>
    </row>
    <row r="76" spans="1:12">
      <c r="A76" s="2">
        <f t="shared" si="15"/>
        <v>375</v>
      </c>
      <c r="B76" s="2">
        <v>38.5</v>
      </c>
      <c r="C76" s="2">
        <v>29</v>
      </c>
      <c r="D76" s="2">
        <v>19.5</v>
      </c>
      <c r="E76" s="2">
        <v>13</v>
      </c>
      <c r="F76" s="2">
        <v>58</v>
      </c>
      <c r="G76" s="3">
        <f>+(Mechlab!$H$4*$A76*G$2)/75</f>
        <v>250000</v>
      </c>
      <c r="H76" s="3">
        <f>+(Mechlab!$H$4*$A76*H$2)/75</f>
        <v>750000</v>
      </c>
      <c r="I76" s="3">
        <f>+(Mechlab!$H$4*$A76*I$2)/75</f>
        <v>1000000</v>
      </c>
      <c r="J76" s="3">
        <f>+(Mechlab!$H$4*$A76*J$2)/75</f>
        <v>5000000</v>
      </c>
      <c r="K76" s="3">
        <f>+(Mechlab!$H$4*$A76*K$2)/75</f>
        <v>62500</v>
      </c>
      <c r="L76" s="3">
        <f>+(Mechlab!$H$4*$A76*L$2)/75</f>
        <v>500000</v>
      </c>
    </row>
    <row r="77" spans="1:12">
      <c r="A77" s="2">
        <f t="shared" si="15"/>
        <v>380</v>
      </c>
      <c r="B77" s="2">
        <v>41</v>
      </c>
      <c r="C77" s="2">
        <v>31</v>
      </c>
      <c r="D77" s="2">
        <v>20.5</v>
      </c>
      <c r="E77" s="2">
        <v>14</v>
      </c>
      <c r="F77" s="2">
        <f>+B77*1.5</f>
        <v>61.5</v>
      </c>
      <c r="G77" s="3">
        <f>+(Mechlab!$H$4*$A77*G$2)/75</f>
        <v>253333.33333333334</v>
      </c>
      <c r="H77" s="3">
        <f>+(Mechlab!$H$4*$A77*H$2)/75</f>
        <v>760000</v>
      </c>
      <c r="I77" s="3">
        <f>+(Mechlab!$H$4*$A77*I$2)/75</f>
        <v>1013333.3333333334</v>
      </c>
      <c r="J77" s="3">
        <f>+(Mechlab!$H$4*$A77*J$2)/75</f>
        <v>5066666.666666667</v>
      </c>
      <c r="K77" s="3">
        <f>+(Mechlab!$H$4*$A77*K$2)/75</f>
        <v>63333.333333333336</v>
      </c>
      <c r="L77" s="3">
        <f>+(Mechlab!$H$4*$A77*L$2)/75</f>
        <v>506666.66666666669</v>
      </c>
    </row>
    <row r="78" spans="1:12">
      <c r="A78" s="2">
        <f t="shared" si="15"/>
        <v>385</v>
      </c>
      <c r="B78" s="2">
        <v>43.5</v>
      </c>
      <c r="C78" s="2">
        <v>33</v>
      </c>
      <c r="D78" s="2">
        <v>22</v>
      </c>
      <c r="E78" s="2">
        <v>14.5</v>
      </c>
      <c r="F78" s="2">
        <v>65.5</v>
      </c>
      <c r="G78" s="3">
        <f>+(Mechlab!$H$4*$A78*G$2)/75</f>
        <v>256666.66666666666</v>
      </c>
      <c r="H78" s="3">
        <f>+(Mechlab!$H$4*$A78*H$2)/75</f>
        <v>770000</v>
      </c>
      <c r="I78" s="3">
        <f>+(Mechlab!$H$4*$A78*I$2)/75</f>
        <v>1026666.6666666666</v>
      </c>
      <c r="J78" s="3">
        <f>+(Mechlab!$H$4*$A78*J$2)/75</f>
        <v>5133333.333333333</v>
      </c>
      <c r="K78" s="3">
        <f>+(Mechlab!$H$4*$A78*K$2)/75</f>
        <v>64166.666666666664</v>
      </c>
      <c r="L78" s="3">
        <f>+(Mechlab!$H$4*$A78*L$2)/75</f>
        <v>513333.33333333331</v>
      </c>
    </row>
    <row r="79" spans="1:12">
      <c r="A79" s="2">
        <f t="shared" si="15"/>
        <v>390</v>
      </c>
      <c r="B79" s="2">
        <v>46</v>
      </c>
      <c r="C79" s="2">
        <v>34.5</v>
      </c>
      <c r="D79" s="2">
        <v>23</v>
      </c>
      <c r="E79" s="2">
        <v>15.5</v>
      </c>
      <c r="F79" s="2">
        <f>+B79*1.5</f>
        <v>69</v>
      </c>
      <c r="G79" s="3">
        <f>+(Mechlab!$H$4*$A79*G$2)/75</f>
        <v>260000</v>
      </c>
      <c r="H79" s="3">
        <f>+(Mechlab!$H$4*$A79*H$2)/75</f>
        <v>780000</v>
      </c>
      <c r="I79" s="3">
        <f>+(Mechlab!$H$4*$A79*I$2)/75</f>
        <v>1040000</v>
      </c>
      <c r="J79" s="3">
        <f>+(Mechlab!$H$4*$A79*J$2)/75</f>
        <v>5200000</v>
      </c>
      <c r="K79" s="3">
        <f>+(Mechlab!$H$4*$A79*K$2)/75</f>
        <v>65000</v>
      </c>
      <c r="L79" s="3">
        <f>+(Mechlab!$H$4*$A79*L$2)/75</f>
        <v>520000</v>
      </c>
    </row>
    <row r="80" spans="1:12">
      <c r="A80" s="2">
        <f t="shared" si="15"/>
        <v>395</v>
      </c>
      <c r="B80" s="2">
        <v>49</v>
      </c>
      <c r="C80" s="2">
        <v>37</v>
      </c>
      <c r="D80" s="2">
        <v>24.5</v>
      </c>
      <c r="E80" s="2">
        <v>16.5</v>
      </c>
      <c r="F80" s="2">
        <f>+B80*1.5</f>
        <v>73.5</v>
      </c>
      <c r="G80" s="3">
        <f>+(Mechlab!$H$4*$A80*G$2)/75</f>
        <v>263333.33333333331</v>
      </c>
      <c r="H80" s="3">
        <f>+(Mechlab!$H$4*$A80*H$2)/75</f>
        <v>790000</v>
      </c>
      <c r="I80" s="3">
        <f>+(Mechlab!$H$4*$A80*I$2)/75</f>
        <v>1053333.3333333333</v>
      </c>
      <c r="J80" s="3">
        <f>+(Mechlab!$H$4*$A80*J$2)/75</f>
        <v>5266666.666666667</v>
      </c>
      <c r="K80" s="3">
        <f>+(Mechlab!$H$4*$A80*K$2)/75</f>
        <v>65833.333333333328</v>
      </c>
      <c r="L80" s="3">
        <f>+(Mechlab!$H$4*$A80*L$2)/75</f>
        <v>526666.66666666663</v>
      </c>
    </row>
    <row r="81" spans="1:12">
      <c r="A81" s="2">
        <f t="shared" si="15"/>
        <v>400</v>
      </c>
      <c r="B81" s="2">
        <v>52.5</v>
      </c>
      <c r="C81" s="2">
        <v>39.5</v>
      </c>
      <c r="D81" s="2">
        <v>26.5</v>
      </c>
      <c r="E81" s="2">
        <v>17.5</v>
      </c>
      <c r="F81" s="2">
        <v>79</v>
      </c>
      <c r="G81" s="3">
        <f>+(Mechlab!$H$4*$A81*G$2)/75</f>
        <v>266666.66666666669</v>
      </c>
      <c r="H81" s="3">
        <f>+(Mechlab!$H$4*$A81*H$2)/75</f>
        <v>800000</v>
      </c>
      <c r="I81" s="3">
        <f>+(Mechlab!$H$4*$A81*I$2)/75</f>
        <v>1066666.6666666667</v>
      </c>
      <c r="J81" s="3">
        <f>+(Mechlab!$H$4*$A81*J$2)/75</f>
        <v>5333333.333333333</v>
      </c>
      <c r="K81" s="3">
        <f>+(Mechlab!$H$4*$A81*K$2)/75</f>
        <v>66666.666666666672</v>
      </c>
      <c r="L81" s="3">
        <f>+(Mechlab!$H$4*$A81*L$2)/75</f>
        <v>533333.33333333337</v>
      </c>
    </row>
    <row r="82" spans="1:12">
      <c r="A82" s="2">
        <f t="shared" si="15"/>
        <v>405</v>
      </c>
      <c r="B82" s="2">
        <v>56.5</v>
      </c>
      <c r="C82" s="2">
        <v>42.5</v>
      </c>
      <c r="D82" s="2">
        <v>28.5</v>
      </c>
      <c r="E82" s="2">
        <v>19</v>
      </c>
      <c r="F82" s="2">
        <v>85</v>
      </c>
      <c r="G82" s="3">
        <f>+(Mechlab!$H$4*$A82*(G$2*2))/75</f>
        <v>540000</v>
      </c>
      <c r="H82" s="3">
        <f>+(Mechlab!$H$4*$A82*(H$2*2))/75</f>
        <v>1620000</v>
      </c>
      <c r="I82" s="3">
        <f>+(Mechlab!$H$4*$A82*(I$2*2))/75</f>
        <v>2160000</v>
      </c>
      <c r="J82" s="3">
        <f>+(Mechlab!$H$4*$A82*(J$2*2))/75</f>
        <v>10800000</v>
      </c>
      <c r="K82" s="3">
        <f>+(Mechlab!$H$4*$A82*(K$2*2))/75</f>
        <v>135000</v>
      </c>
      <c r="L82" s="3">
        <f>+(Mechlab!$H$4*$A82*(L$2*2))/75</f>
        <v>1080000</v>
      </c>
    </row>
    <row r="83" spans="1:12">
      <c r="A83" s="2">
        <f t="shared" si="15"/>
        <v>410</v>
      </c>
      <c r="B83" s="2">
        <v>61</v>
      </c>
      <c r="C83" s="2">
        <v>46</v>
      </c>
      <c r="D83" s="2">
        <v>30.5</v>
      </c>
      <c r="E83" s="2">
        <v>20.5</v>
      </c>
      <c r="F83" s="2">
        <f>+B83*1.5</f>
        <v>91.5</v>
      </c>
      <c r="G83" s="3">
        <f>+(Mechlab!$H$4*$A83*(G$2*2))/75</f>
        <v>546666.66666666663</v>
      </c>
      <c r="H83" s="3">
        <f>+(Mechlab!$H$4*$A83*(H$2*2))/75</f>
        <v>1640000</v>
      </c>
      <c r="I83" s="3">
        <f>+(Mechlab!$H$4*$A83*(I$2*2))/75</f>
        <v>2186666.6666666665</v>
      </c>
      <c r="J83" s="3">
        <f>+(Mechlab!$H$4*$A83*(J$2*2))/75</f>
        <v>10933333.333333334</v>
      </c>
      <c r="K83" s="3">
        <f>+(Mechlab!$H$4*$A83*(K$2*2))/75</f>
        <v>136666.66666666666</v>
      </c>
      <c r="L83" s="3">
        <f>+(Mechlab!$H$4*$A83*(L$2*2))/75</f>
        <v>1093333.3333333333</v>
      </c>
    </row>
    <row r="84" spans="1:12">
      <c r="A84" s="2">
        <f t="shared" si="15"/>
        <v>415</v>
      </c>
      <c r="B84" s="2">
        <v>66.5</v>
      </c>
      <c r="C84" s="2">
        <v>50</v>
      </c>
      <c r="D84" s="2">
        <v>33.5</v>
      </c>
      <c r="E84" s="2">
        <v>22.5</v>
      </c>
      <c r="F84" s="2">
        <v>100</v>
      </c>
      <c r="G84" s="3">
        <f>+(Mechlab!$H$4*$A84*(G$2*2))/75</f>
        <v>553333.33333333337</v>
      </c>
      <c r="H84" s="3">
        <f>+(Mechlab!$H$4*$A84*(H$2*2))/75</f>
        <v>1660000</v>
      </c>
      <c r="I84" s="3">
        <f>+(Mechlab!$H$4*$A84*(I$2*2))/75</f>
        <v>2213333.3333333335</v>
      </c>
      <c r="J84" s="3">
        <f>+(Mechlab!$H$4*$A84*(J$2*2))/75</f>
        <v>11066666.666666666</v>
      </c>
      <c r="K84" s="3">
        <f>+(Mechlab!$H$4*$A84*(K$2*2))/75</f>
        <v>138333.33333333334</v>
      </c>
      <c r="L84" s="3">
        <f>+(Mechlab!$H$4*$A84*(L$2*2))/75</f>
        <v>1106666.6666666667</v>
      </c>
    </row>
    <row r="85" spans="1:12">
      <c r="A85" s="2">
        <f t="shared" si="15"/>
        <v>420</v>
      </c>
      <c r="B85" s="2">
        <v>72.5</v>
      </c>
      <c r="C85" s="2">
        <v>54.5</v>
      </c>
      <c r="D85" s="2">
        <v>36.5</v>
      </c>
      <c r="E85" s="2">
        <v>24.5</v>
      </c>
      <c r="F85" s="2">
        <v>109</v>
      </c>
      <c r="G85" s="3">
        <f>+(Mechlab!$H$4*$A85*(G$2*2))/75</f>
        <v>560000</v>
      </c>
      <c r="H85" s="3">
        <f>+(Mechlab!$H$4*$A85*(H$2*2))/75</f>
        <v>1680000</v>
      </c>
      <c r="I85" s="3">
        <f>+(Mechlab!$H$4*$A85*(I$2*2))/75</f>
        <v>2240000</v>
      </c>
      <c r="J85" s="3">
        <f>+(Mechlab!$H$4*$A85*(J$2*2))/75</f>
        <v>11200000</v>
      </c>
      <c r="K85" s="3">
        <f>+(Mechlab!$H$4*$A85*(K$2*2))/75</f>
        <v>140000</v>
      </c>
      <c r="L85" s="3">
        <f>+(Mechlab!$H$4*$A85*(L$2*2))/75</f>
        <v>1120000</v>
      </c>
    </row>
    <row r="86" spans="1:12">
      <c r="A86" s="2">
        <f t="shared" si="15"/>
        <v>425</v>
      </c>
      <c r="B86" s="2">
        <v>79.5</v>
      </c>
      <c r="C86" s="2">
        <v>60</v>
      </c>
      <c r="D86" s="2">
        <v>40</v>
      </c>
      <c r="E86" s="2">
        <v>26.5</v>
      </c>
      <c r="F86" s="2">
        <v>119.5</v>
      </c>
      <c r="G86" s="3">
        <f>+(Mechlab!$H$4*$A86*(G$2*2))/75</f>
        <v>566666.66666666663</v>
      </c>
      <c r="H86" s="3">
        <f>+(Mechlab!$H$4*$A86*(H$2*2))/75</f>
        <v>1700000</v>
      </c>
      <c r="I86" s="3">
        <f>+(Mechlab!$H$4*$A86*(I$2*2))/75</f>
        <v>2266666.6666666665</v>
      </c>
      <c r="J86" s="3">
        <f>+(Mechlab!$H$4*$A86*(J$2*2))/75</f>
        <v>11333333.333333334</v>
      </c>
      <c r="K86" s="3">
        <f>+(Mechlab!$H$4*$A86*(K$2*2))/75</f>
        <v>141666.66666666666</v>
      </c>
      <c r="L86" s="3">
        <f>+(Mechlab!$H$4*$A86*(L$2*2))/75</f>
        <v>1133333.3333333333</v>
      </c>
    </row>
    <row r="87" spans="1:12">
      <c r="A87" s="2">
        <f t="shared" si="15"/>
        <v>430</v>
      </c>
      <c r="B87" s="2">
        <v>87.5</v>
      </c>
      <c r="C87" s="2">
        <v>66</v>
      </c>
      <c r="D87" s="2">
        <v>44</v>
      </c>
      <c r="E87" s="2">
        <v>29.5</v>
      </c>
      <c r="F87" s="2">
        <v>131.5</v>
      </c>
      <c r="G87" s="3">
        <f>+(Mechlab!$H$4*$A87*(G$2*2))/75</f>
        <v>573333.33333333337</v>
      </c>
      <c r="H87" s="3">
        <f>+(Mechlab!$H$4*$A87*(H$2*2))/75</f>
        <v>1720000</v>
      </c>
      <c r="I87" s="3">
        <f>+(Mechlab!$H$4*$A87*(I$2*2))/75</f>
        <v>2293333.3333333335</v>
      </c>
      <c r="J87" s="3">
        <f>+(Mechlab!$H$4*$A87*(J$2*2))/75</f>
        <v>11466666.666666666</v>
      </c>
      <c r="K87" s="3">
        <f>+(Mechlab!$H$4*$A87*(K$2*2))/75</f>
        <v>143333.33333333334</v>
      </c>
      <c r="L87" s="3">
        <f>+(Mechlab!$H$4*$A87*(L$2*2))/75</f>
        <v>1146666.6666666667</v>
      </c>
    </row>
    <row r="88" spans="1:12">
      <c r="A88" s="2">
        <f t="shared" si="15"/>
        <v>435</v>
      </c>
      <c r="B88" s="2">
        <v>97</v>
      </c>
      <c r="C88" s="2">
        <v>73</v>
      </c>
      <c r="D88" s="2">
        <v>48.5</v>
      </c>
      <c r="E88" s="2">
        <v>32.5</v>
      </c>
      <c r="F88" s="2">
        <f>+B88*1.5</f>
        <v>145.5</v>
      </c>
      <c r="G88" s="3">
        <f>+(Mechlab!$H$4*$A88*(G$2*2))/75</f>
        <v>580000</v>
      </c>
      <c r="H88" s="3">
        <f>+(Mechlab!$H$4*$A88*(H$2*2))/75</f>
        <v>1740000</v>
      </c>
      <c r="I88" s="3">
        <f>+(Mechlab!$H$4*$A88*(I$2*2))/75</f>
        <v>2320000</v>
      </c>
      <c r="J88" s="3">
        <f>+(Mechlab!$H$4*$A88*(J$2*2))/75</f>
        <v>11600000</v>
      </c>
      <c r="K88" s="3">
        <f>+(Mechlab!$H$4*$A88*(K$2*2))/75</f>
        <v>145000</v>
      </c>
      <c r="L88" s="3">
        <f>+(Mechlab!$H$4*$A88*(L$2*2))/75</f>
        <v>1160000</v>
      </c>
    </row>
    <row r="89" spans="1:12">
      <c r="A89" s="2">
        <f t="shared" si="15"/>
        <v>440</v>
      </c>
      <c r="B89" s="2">
        <v>107.5</v>
      </c>
      <c r="C89" s="2">
        <v>81</v>
      </c>
      <c r="D89" s="2">
        <v>54</v>
      </c>
      <c r="E89" s="2">
        <v>36</v>
      </c>
      <c r="F89" s="2">
        <v>161.5</v>
      </c>
      <c r="G89" s="3">
        <f>+(Mechlab!$H$4*$A89*(G$2*2))/75</f>
        <v>586666.66666666663</v>
      </c>
      <c r="H89" s="3">
        <f>+(Mechlab!$H$4*$A89*(H$2*2))/75</f>
        <v>1760000</v>
      </c>
      <c r="I89" s="3">
        <f>+(Mechlab!$H$4*$A89*(I$2*2))/75</f>
        <v>2346666.6666666665</v>
      </c>
      <c r="J89" s="3">
        <f>+(Mechlab!$H$4*$A89*(J$2*2))/75</f>
        <v>11733333.333333334</v>
      </c>
      <c r="K89" s="3">
        <f>+(Mechlab!$H$4*$A89*(K$2*2))/75</f>
        <v>146666.66666666666</v>
      </c>
      <c r="L89" s="3">
        <f>+(Mechlab!$H$4*$A89*(L$2*2))/75</f>
        <v>1173333.3333333333</v>
      </c>
    </row>
    <row r="90" spans="1:12">
      <c r="A90" s="2">
        <f t="shared" si="15"/>
        <v>445</v>
      </c>
      <c r="B90" s="2">
        <v>119.5</v>
      </c>
      <c r="C90" s="2">
        <v>90</v>
      </c>
      <c r="D90" s="2">
        <v>60</v>
      </c>
      <c r="E90" s="2">
        <v>40</v>
      </c>
      <c r="F90" s="2">
        <v>179.5</v>
      </c>
      <c r="G90" s="3">
        <f>+(Mechlab!$H$4*$A90*(G$2*2))/75</f>
        <v>593333.33333333337</v>
      </c>
      <c r="H90" s="3">
        <f>+(Mechlab!$H$4*$A90*(H$2*2))/75</f>
        <v>1780000</v>
      </c>
      <c r="I90" s="3">
        <f>+(Mechlab!$H$4*$A90*(I$2*2))/75</f>
        <v>2373333.3333333335</v>
      </c>
      <c r="J90" s="3">
        <f>+(Mechlab!$H$4*$A90*(J$2*2))/75</f>
        <v>11866666.666666666</v>
      </c>
      <c r="K90" s="3">
        <f>+(Mechlab!$H$4*$A90*(K$2*2))/75</f>
        <v>148333.33333333334</v>
      </c>
      <c r="L90" s="3">
        <f>+(Mechlab!$H$4*$A90*(L$2*2))/75</f>
        <v>1186666.6666666667</v>
      </c>
    </row>
    <row r="91" spans="1:12">
      <c r="A91" s="2">
        <f t="shared" si="15"/>
        <v>450</v>
      </c>
      <c r="B91" s="2">
        <v>133.5</v>
      </c>
      <c r="C91" s="2">
        <v>100.5</v>
      </c>
      <c r="D91" s="2">
        <v>67</v>
      </c>
      <c r="E91" s="2">
        <v>44.5</v>
      </c>
      <c r="F91" s="2">
        <v>200.5</v>
      </c>
      <c r="G91" s="3">
        <f>+(Mechlab!$H$4*$A91*(G$2*2))/75</f>
        <v>600000</v>
      </c>
      <c r="H91" s="3">
        <f>+(Mechlab!$H$4*$A91*(H$2*2))/75</f>
        <v>1800000</v>
      </c>
      <c r="I91" s="3">
        <f>+(Mechlab!$H$4*$A91*(I$2*2))/75</f>
        <v>2400000</v>
      </c>
      <c r="J91" s="3">
        <f>+(Mechlab!$H$4*$A91*(J$2*2))/75</f>
        <v>12000000</v>
      </c>
      <c r="K91" s="3">
        <f>+(Mechlab!$H$4*$A91*(K$2*2))/75</f>
        <v>150000</v>
      </c>
      <c r="L91" s="3">
        <f>+(Mechlab!$H$4*$A91*(L$2*2))/75</f>
        <v>1200000</v>
      </c>
    </row>
    <row r="92" spans="1:12">
      <c r="A92" s="2">
        <f t="shared" si="15"/>
        <v>455</v>
      </c>
      <c r="B92" s="2">
        <v>150</v>
      </c>
      <c r="C92" s="2">
        <v>112.5</v>
      </c>
      <c r="D92" s="2">
        <v>75</v>
      </c>
      <c r="E92" s="2">
        <v>50</v>
      </c>
      <c r="F92" s="2">
        <f>+B92*1.5</f>
        <v>225</v>
      </c>
      <c r="G92" s="3">
        <f>+(Mechlab!$H$4*$A92*(G$2*2))/75</f>
        <v>606666.66666666663</v>
      </c>
      <c r="H92" s="3">
        <f>+(Mechlab!$H$4*$A92*(H$2*2))/75</f>
        <v>1820000</v>
      </c>
      <c r="I92" s="3">
        <f>+(Mechlab!$H$4*$A92*(I$2*2))/75</f>
        <v>2426666.6666666665</v>
      </c>
      <c r="J92" s="3">
        <f>+(Mechlab!$H$4*$A92*(J$2*2))/75</f>
        <v>12133333.333333334</v>
      </c>
      <c r="K92" s="3">
        <f>+(Mechlab!$H$4*$A92*(K$2*2))/75</f>
        <v>151666.66666666666</v>
      </c>
      <c r="L92" s="3">
        <f>+(Mechlab!$H$4*$A92*(L$2*2))/75</f>
        <v>1213333.3333333333</v>
      </c>
    </row>
    <row r="93" spans="1:12">
      <c r="A93" s="2">
        <f t="shared" si="15"/>
        <v>460</v>
      </c>
      <c r="B93" s="2">
        <v>168.5</v>
      </c>
      <c r="C93" s="2">
        <v>126.5</v>
      </c>
      <c r="D93" s="2">
        <v>84.5</v>
      </c>
      <c r="E93" s="2">
        <v>56.5</v>
      </c>
      <c r="F93" s="2">
        <v>253</v>
      </c>
      <c r="G93" s="3">
        <f>+(Mechlab!$H$4*$A93*(G$2*2))/75</f>
        <v>613333.33333333337</v>
      </c>
      <c r="H93" s="3">
        <f>+(Mechlab!$H$4*$A93*(H$2*2))/75</f>
        <v>1840000</v>
      </c>
      <c r="I93" s="3">
        <f>+(Mechlab!$H$4*$A93*(I$2*2))/75</f>
        <v>2453333.3333333335</v>
      </c>
      <c r="J93" s="3">
        <f>+(Mechlab!$H$4*$A93*(J$2*2))/75</f>
        <v>12266666.666666666</v>
      </c>
      <c r="K93" s="3">
        <f>+(Mechlab!$H$4*$A93*(K$2*2))/75</f>
        <v>153333.33333333334</v>
      </c>
      <c r="L93" s="3">
        <f>+(Mechlab!$H$4*$A93*(L$2*2))/75</f>
        <v>1226666.6666666667</v>
      </c>
    </row>
    <row r="94" spans="1:12">
      <c r="A94" s="2">
        <f t="shared" si="15"/>
        <v>465</v>
      </c>
      <c r="B94" s="2">
        <v>190</v>
      </c>
      <c r="C94" s="2">
        <v>142.5</v>
      </c>
      <c r="D94" s="2">
        <v>95</v>
      </c>
      <c r="E94" s="2">
        <v>63.5</v>
      </c>
      <c r="F94" s="2">
        <f>+B94*1.5</f>
        <v>285</v>
      </c>
      <c r="G94" s="3">
        <f>+(Mechlab!$H$4*$A94*(G$2*2))/75</f>
        <v>620000</v>
      </c>
      <c r="H94" s="3">
        <f>+(Mechlab!$H$4*$A94*(H$2*2))/75</f>
        <v>1860000</v>
      </c>
      <c r="I94" s="3">
        <f>+(Mechlab!$H$4*$A94*(I$2*2))/75</f>
        <v>2480000</v>
      </c>
      <c r="J94" s="3">
        <f>+(Mechlab!$H$4*$A94*(J$2*2))/75</f>
        <v>12400000</v>
      </c>
      <c r="K94" s="3">
        <f>+(Mechlab!$H$4*$A94*(K$2*2))/75</f>
        <v>155000</v>
      </c>
      <c r="L94" s="3">
        <f>+(Mechlab!$H$4*$A94*(L$2*2))/75</f>
        <v>1240000</v>
      </c>
    </row>
    <row r="95" spans="1:12">
      <c r="A95" s="2">
        <f t="shared" si="15"/>
        <v>470</v>
      </c>
      <c r="B95" s="2">
        <v>214.5</v>
      </c>
      <c r="C95" s="2">
        <v>161</v>
      </c>
      <c r="D95" s="2">
        <v>107.5</v>
      </c>
      <c r="E95" s="2">
        <v>71.5</v>
      </c>
      <c r="F95" s="2">
        <v>322</v>
      </c>
      <c r="G95" s="3">
        <f>+(Mechlab!$H$4*$A95*(G$2*2))/75</f>
        <v>626666.66666666663</v>
      </c>
      <c r="H95" s="3">
        <f>+(Mechlab!$H$4*$A95*(H$2*2))/75</f>
        <v>1880000</v>
      </c>
      <c r="I95" s="3">
        <f>+(Mechlab!$H$4*$A95*(I$2*2))/75</f>
        <v>2506666.6666666665</v>
      </c>
      <c r="J95" s="3">
        <f>+(Mechlab!$H$4*$A95*(J$2*2))/75</f>
        <v>12533333.333333334</v>
      </c>
      <c r="K95" s="3">
        <f>+(Mechlab!$H$4*$A95*(K$2*2))/75</f>
        <v>156666.66666666666</v>
      </c>
      <c r="L95" s="3">
        <f>+(Mechlab!$H$4*$A95*(L$2*2))/75</f>
        <v>1253333.3333333333</v>
      </c>
    </row>
    <row r="96" spans="1:12">
      <c r="A96" s="2">
        <f t="shared" si="15"/>
        <v>475</v>
      </c>
      <c r="B96" s="2">
        <v>243</v>
      </c>
      <c r="C96" s="2">
        <v>182.5</v>
      </c>
      <c r="D96" s="2">
        <f>ROUNDUP(B96*0.5,1)</f>
        <v>121.5</v>
      </c>
      <c r="E96" s="2">
        <v>81</v>
      </c>
      <c r="F96" s="2">
        <f>+B96*1.5</f>
        <v>364.5</v>
      </c>
      <c r="G96" s="3">
        <f>+(Mechlab!$H$4*$A96*(G$2*2))/75</f>
        <v>633333.33333333337</v>
      </c>
      <c r="H96" s="3">
        <f>+(Mechlab!$H$4*$A96*(H$2*2))/75</f>
        <v>1900000</v>
      </c>
      <c r="I96" s="3">
        <f>+(Mechlab!$H$4*$A96*(I$2*2))/75</f>
        <v>2533333.3333333335</v>
      </c>
      <c r="J96" s="3">
        <f>+(Mechlab!$H$4*$A96*(J$2*2))/75</f>
        <v>12666666.666666666</v>
      </c>
      <c r="K96" s="3">
        <f>+(Mechlab!$H$4*$A96*(K$2*2))/75</f>
        <v>158333.33333333334</v>
      </c>
      <c r="L96" s="3">
        <f>+(Mechlab!$H$4*$A96*(L$2*2))/75</f>
        <v>1266666.6666666667</v>
      </c>
    </row>
    <row r="97" spans="1:12">
      <c r="A97" s="2">
        <f t="shared" si="15"/>
        <v>480</v>
      </c>
      <c r="B97" s="2">
        <v>275.5</v>
      </c>
      <c r="C97" s="2">
        <v>207</v>
      </c>
      <c r="D97" s="2">
        <v>138</v>
      </c>
      <c r="E97" s="2">
        <v>92</v>
      </c>
      <c r="F97" s="2">
        <v>413.5</v>
      </c>
      <c r="G97" s="3">
        <f>+(Mechlab!$H$4*$A97*(G$2*2))/75</f>
        <v>640000</v>
      </c>
      <c r="H97" s="3">
        <f>+(Mechlab!$H$4*$A97*(H$2*2))/75</f>
        <v>1920000</v>
      </c>
      <c r="I97" s="3">
        <f>+(Mechlab!$H$4*$A97*(I$2*2))/75</f>
        <v>2560000</v>
      </c>
      <c r="J97" s="3">
        <f>+(Mechlab!$H$4*$A97*(J$2*2))/75</f>
        <v>12800000</v>
      </c>
      <c r="K97" s="3">
        <f>+(Mechlab!$H$4*$A97*(K$2*2))/75</f>
        <v>160000</v>
      </c>
      <c r="L97" s="3">
        <f>+(Mechlab!$H$4*$A97*(L$2*2))/75</f>
        <v>1280000</v>
      </c>
    </row>
    <row r="98" spans="1:12">
      <c r="A98" s="2">
        <f t="shared" si="15"/>
        <v>485</v>
      </c>
      <c r="B98" s="2">
        <v>313</v>
      </c>
      <c r="C98" s="2">
        <v>235</v>
      </c>
      <c r="D98" s="2">
        <v>156.5</v>
      </c>
      <c r="E98" s="2">
        <v>104.5</v>
      </c>
      <c r="F98" s="2">
        <f>+B98*1.5</f>
        <v>469.5</v>
      </c>
      <c r="G98" s="3">
        <f>+(Mechlab!$H$4*$A98*(G$2*2))/75</f>
        <v>646666.66666666663</v>
      </c>
      <c r="H98" s="3">
        <f>+(Mechlab!$H$4*$A98*(H$2*2))/75</f>
        <v>1940000</v>
      </c>
      <c r="I98" s="3">
        <f>+(Mechlab!$H$4*$A98*(I$2*2))/75</f>
        <v>2586666.6666666665</v>
      </c>
      <c r="J98" s="3">
        <f>+(Mechlab!$H$4*$A98*(J$2*2))/75</f>
        <v>12933333.333333334</v>
      </c>
      <c r="K98" s="3">
        <f>+(Mechlab!$H$4*$A98*(K$2*2))/75</f>
        <v>161666.66666666666</v>
      </c>
      <c r="L98" s="3">
        <f>+(Mechlab!$H$4*$A98*(L$2*2))/75</f>
        <v>1293333.3333333333</v>
      </c>
    </row>
    <row r="99" spans="1:12">
      <c r="A99" s="2">
        <f t="shared" si="15"/>
        <v>490</v>
      </c>
      <c r="B99" s="2">
        <v>356</v>
      </c>
      <c r="C99" s="2">
        <v>267</v>
      </c>
      <c r="D99" s="2">
        <v>178</v>
      </c>
      <c r="E99" s="2">
        <v>119</v>
      </c>
      <c r="F99" s="2">
        <f>+B99*1.5</f>
        <v>534</v>
      </c>
      <c r="G99" s="3">
        <f>+(Mechlab!$H$4*$A99*(G$2*2))/75</f>
        <v>653333.33333333337</v>
      </c>
      <c r="H99" s="3">
        <f>+(Mechlab!$H$4*$A99*(H$2*2))/75</f>
        <v>1960000</v>
      </c>
      <c r="I99" s="3">
        <f>+(Mechlab!$H$4*$A99*(I$2*2))/75</f>
        <v>2613333.3333333335</v>
      </c>
      <c r="J99" s="3">
        <f>+(Mechlab!$H$4*$A99*(J$2*2))/75</f>
        <v>13066666.666666666</v>
      </c>
      <c r="K99" s="3">
        <f>+(Mechlab!$H$4*$A99*(K$2*2))/75</f>
        <v>163333.33333333334</v>
      </c>
      <c r="L99" s="3">
        <f>+(Mechlab!$H$4*$A99*(L$2*2))/75</f>
        <v>1306666.6666666667</v>
      </c>
    </row>
    <row r="100" spans="1:12">
      <c r="A100" s="2">
        <f t="shared" si="15"/>
        <v>495</v>
      </c>
      <c r="B100" s="2">
        <v>405.5</v>
      </c>
      <c r="C100" s="2">
        <v>304.5</v>
      </c>
      <c r="D100" s="2">
        <v>203</v>
      </c>
      <c r="E100" s="2">
        <v>135.5</v>
      </c>
      <c r="F100" s="2">
        <v>608.5</v>
      </c>
      <c r="G100" s="3">
        <f>+(Mechlab!$H$4*$A100*(G$2*2))/75</f>
        <v>660000</v>
      </c>
      <c r="H100" s="3">
        <f>+(Mechlab!$H$4*$A100*(H$2*2))/75</f>
        <v>1980000</v>
      </c>
      <c r="I100" s="3">
        <f>+(Mechlab!$H$4*$A100*(I$2*2))/75</f>
        <v>2640000</v>
      </c>
      <c r="J100" s="3">
        <f>+(Mechlab!$H$4*$A100*(J$2*2))/75</f>
        <v>13200000</v>
      </c>
      <c r="K100" s="3">
        <f>+(Mechlab!$H$4*$A100*(K$2*2))/75</f>
        <v>165000</v>
      </c>
      <c r="L100" s="3">
        <f>+(Mechlab!$H$4*$A100*(L$2*2))/75</f>
        <v>1320000</v>
      </c>
    </row>
    <row r="101" spans="1:12">
      <c r="A101" s="2">
        <f t="shared" si="15"/>
        <v>500</v>
      </c>
      <c r="B101" s="2">
        <v>462.5</v>
      </c>
      <c r="C101" s="2">
        <v>347</v>
      </c>
      <c r="D101" s="2">
        <v>231.5</v>
      </c>
      <c r="E101" s="2">
        <v>154.5</v>
      </c>
      <c r="F101" s="2">
        <v>694</v>
      </c>
      <c r="G101" s="3">
        <f>+(Mechlab!$H$4*$A101*(G$2*2))/75</f>
        <v>666666.66666666663</v>
      </c>
      <c r="H101" s="3">
        <f>+(Mechlab!$H$4*$A101*(H$2*2))/75</f>
        <v>2000000</v>
      </c>
      <c r="I101" s="3">
        <f>+(Mechlab!$H$4*$A101*(I$2*2))/75</f>
        <v>2666666.6666666665</v>
      </c>
      <c r="J101" s="3">
        <f>+(Mechlab!$H$4*$A101*(J$2*2))/75</f>
        <v>13333333.333333334</v>
      </c>
      <c r="K101" s="3">
        <f>+(Mechlab!$H$4*$A101*(K$2*2))/75</f>
        <v>166666.66666666666</v>
      </c>
      <c r="L101" s="3">
        <f>+(Mechlab!$H$4*$A101*(L$2*2))/75</f>
        <v>1333333.3333333333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Mechlab</vt:lpstr>
      <vt:lpstr>Engine&amp;weapons</vt:lpstr>
      <vt:lpstr>Sheet3</vt:lpstr>
      <vt:lpstr>Mechlab!Print_Area</vt:lpstr>
    </vt:vector>
  </TitlesOfParts>
  <Company>Shaolin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Ninja</dc:creator>
  <cp:lastModifiedBy>RJahnel</cp:lastModifiedBy>
  <cp:lastPrinted>2006-06-04T04:43:22Z</cp:lastPrinted>
  <dcterms:created xsi:type="dcterms:W3CDTF">2005-07-05T04:38:17Z</dcterms:created>
  <dcterms:modified xsi:type="dcterms:W3CDTF">2012-06-14T23:56:10Z</dcterms:modified>
</cp:coreProperties>
</file>